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Z:\Решения Думы\2025\Актуальная редакция\в ред. от 26.06.2025 № 14-69\"/>
    </mc:Choice>
  </mc:AlternateContent>
  <xr:revisionPtr revIDLastSave="0" documentId="13_ncr:81_{E03B21D9-4591-4268-9103-9104B78E8A7C}" xr6:coauthVersionLast="47" xr6:coauthVersionMax="47" xr10:uidLastSave="{00000000-0000-0000-0000-000000000000}"/>
  <bookViews>
    <workbookView xWindow="12900" yWindow="0" windowWidth="14355" windowHeight="15375" xr2:uid="{00000000-000D-0000-FFFF-FFFF00000000}"/>
  </bookViews>
  <sheets>
    <sheet name="рпр" sheetId="1" r:id="rId1"/>
  </sheets>
  <definedNames>
    <definedName name="_xlnm._FilterDatabase" localSheetId="0" hidden="1">рпр!$C$1:$C$863</definedName>
    <definedName name="Z_0D09C470_2E87_4C0F_8678_A948774FDA23_.wvu.FilterData" localSheetId="0" hidden="1">рпр!$D$1:$D$15</definedName>
    <definedName name="Z_199C747B_6047_4DBE_B7AF_0B4ED9AF8062_.wvu.FilterData" localSheetId="0" hidden="1">рпр!$C$1:$C$850</definedName>
    <definedName name="Z_1CA6CCC9_64EF_4CA9_9C9C_1E572976D134_.wvu.FilterData" localSheetId="0" hidden="1">рпр!$A$6:$G$845</definedName>
    <definedName name="Z_1CA6CCC9_64EF_4CA9_9C9C_1E572976D134_.wvu.PrintTitles" localSheetId="0" hidden="1">рпр!$7:$8</definedName>
    <definedName name="Z_1CA6CCC9_64EF_4CA9_9C9C_1E572976D134_.wvu.Rows" localSheetId="0" hidden="1">рпр!$10:$121,рпр!$123:$140,рпр!$143:$151,рпр!$153:$163,рпр!$165:$256,рпр!$258:$282,рпр!$285:$315,рпр!$317:$410,рпр!$412:$487,рпр!$489:$508,рпр!$511:$515,рпр!$518:$538,рпр!$540:$603,рпр!$605:$626,рпр!$628:$644,рпр!$646:$690,рпр!$693:$712,рпр!$714:$735,рпр!$738:$740,рпр!$742:$755,рпр!$757:$786,рпр!$789:$793,рпр!$795:$813,рпр!$815:$835,рпр!$838:$840,рпр!$843:$845</definedName>
    <definedName name="Z_23A5EAB7_7745_45A3_8BB4_D6186958C7BF_.wvu.FilterData" localSheetId="0" hidden="1">рпр!$D$1:$D$15</definedName>
    <definedName name="Z_23A5EAB7_7745_45A3_8BB4_D6186958C7BF_.wvu.PrintTitles" localSheetId="0" hidden="1">рпр!$7:$8</definedName>
    <definedName name="Z_23F7C319_D9D7_459A_B8F5_A3581D3A5B81_.wvu.FilterData" localSheetId="0" hidden="1">рпр!$D$1:$D$15</definedName>
    <definedName name="Z_2A135292_D5EB_4A8D_A93E_D0B24F2543E0_.wvu.FilterData" localSheetId="0" hidden="1">рпр!$C$1:$C$863</definedName>
    <definedName name="Z_2A135292_D5EB_4A8D_A93E_D0B24F2543E0_.wvu.PrintTitles" localSheetId="0" hidden="1">рпр!$7:$8</definedName>
    <definedName name="Z_3197038B_7AE0_453D_B16F_842F91D12370_.wvu.FilterData" localSheetId="0" hidden="1">рпр!$D$1:$D$15</definedName>
    <definedName name="Z_32FC6AA7_97FD_40A3_9558_62D49F19A162_.wvu.FilterData" localSheetId="0" hidden="1">рпр!$D$1:$D$15</definedName>
    <definedName name="Z_3D5FA0F4_920E_4BDD_8237_DA71285E552D_.wvu.FilterData" localSheetId="0" hidden="1">рпр!$D$1:$D$15</definedName>
    <definedName name="Z_3E648FDD_E1B7_4790_827B_0B5F0EAD6452_.wvu.FilterData" localSheetId="0" hidden="1">рпр!$D$1:$D$15</definedName>
    <definedName name="Z_5489E52F_3E4E_4A5D_9CAF_34B64A29D785_.wvu.FilterData" localSheetId="0" hidden="1">рпр!$D$1:$D$15</definedName>
    <definedName name="Z_61C84D61_2D1A_4C38_8F3E_B87673D547A5_.wvu.FilterData" localSheetId="0" hidden="1">рпр!$A$6:$G$845</definedName>
    <definedName name="Z_61C84D61_2D1A_4C38_8F3E_B87673D547A5_.wvu.PrintTitles" localSheetId="0" hidden="1">рпр!$7:$8</definedName>
    <definedName name="Z_6C9A7D5C_610A_4B66_A332_0B1E5ACC7CDC_.wvu.FilterData" localSheetId="0" hidden="1">рпр!$C$1:$C$850</definedName>
    <definedName name="Z_6D8949E9_8F67_452F_8026_18F60ECD626A_.wvu.FilterData" localSheetId="0" hidden="1">рпр!$C$1:$C$850</definedName>
    <definedName name="Z_7106963E_70F3_48C5_B362_9B000C363242_.wvu.FilterData" localSheetId="0" hidden="1">рпр!$A$6:$G$845</definedName>
    <definedName name="Z_926F2036_6CA2_4D9D_9A3F_FBB9B9A9CDEA_.wvu.FilterData" localSheetId="0" hidden="1">рпр!$D$1:$D$15</definedName>
    <definedName name="Z_9392CBD6_F4B0_493F_995C_C6327321BD49_.wvu.FilterData" localSheetId="0" hidden="1">рпр!$A$6:$G$845</definedName>
    <definedName name="Z_93B03682_4FA6_4195_9F3E_A40BC2C05B11_.wvu.FilterData" localSheetId="0" hidden="1">рпр!$D$1:$D$15</definedName>
    <definedName name="Z_98E64474_CDF2_4660_977D_8A2058B27A2F_.wvu.FilterData" localSheetId="0" hidden="1">рпр!$A$6:$G$845</definedName>
    <definedName name="Z_98E64474_CDF2_4660_977D_8A2058B27A2F_.wvu.PrintTitles" localSheetId="0" hidden="1">рпр!$7:$8</definedName>
    <definedName name="Z_9FDAC6D4_D6DE_4524_BE34_3372FE2E9C61_.wvu.FilterData" localSheetId="0" hidden="1">рпр!$D$1:$D$15</definedName>
    <definedName name="Z_AA62EF5A_85DE_4BC8_95D5_4F54CE8CF3D6_.wvu.FilterData" localSheetId="0" hidden="1">рпр!$A$6:$G$845</definedName>
    <definedName name="Z_AA62EF5A_85DE_4BC8_95D5_4F54CE8CF3D6_.wvu.PrintTitles" localSheetId="0" hidden="1">рпр!$7:$8</definedName>
    <definedName name="Z_BB350AFD_3C59_406F_B078_BA01ED584583_.wvu.FilterData" localSheetId="0" hidden="1">рпр!$C$1:$C$850</definedName>
    <definedName name="Z_BBC98704_382B_4A77_8B65_8E0E10583F10_.wvu.FilterData" localSheetId="0" hidden="1">рпр!$C$1:$C$850</definedName>
    <definedName name="Z_C1741D45_C46A_4DC7_AC19_5A71334CAEEE_.wvu.FilterData" localSheetId="0" hidden="1">рпр!$A$6:$G$845</definedName>
    <definedName name="Z_D2822DC7_D4ED_4DDD_BAA7_FCD29EB01634_.wvu.FilterData" localSheetId="0" hidden="1">рпр!$C$1:$C$850</definedName>
    <definedName name="Z_DE4C4DED_3532_45E6_82B9_84CB49AD099F_.wvu.FilterData" localSheetId="0" hidden="1">рпр!$C$1:$C$850</definedName>
    <definedName name="Z_EBD9B7AB_7702_45BD_91FB_72E8ED80273F_.wvu.FilterData" localSheetId="0" hidden="1">рпр!$A$6:$G$845</definedName>
    <definedName name="Z_F90D38A5_C457_4FC4_B8B4_5D36CD74970E_.wvu.FilterData" localSheetId="0" hidden="1">рпр!$D$1:$D$15</definedName>
    <definedName name="Z_FD876D40_493A_470C_A137_1F7C6C6DA01D_.wvu.FilterData" localSheetId="0" hidden="1">рпр!$D$1:$D$15</definedName>
    <definedName name="Z_FD876D40_493A_470C_A137_1F7C6C6DA01D_.wvu.PrintTitles" localSheetId="0" hidden="1">рпр!$7:$8</definedName>
    <definedName name="_xlnm.Print_Titles" localSheetId="0">рпр!$7:$8</definedName>
  </definedNames>
  <calcPr calcId="191029"/>
  <customWorkbookViews>
    <customWorkbookView name="Наталья Геращенко - Личное представление" guid="{2A135292-D5EB-4A8D-A93E-D0B24F2543E0}" mergeInterval="0" personalView="1" xWindow="860" windowWidth="957" windowHeight="1025" activeSheetId="1"/>
    <customWorkbookView name="Ярина Анна - Личное представление" guid="{AA62EF5A-85DE-4BC8-95D5-4F54CE8CF3D6}" mergeInterval="0" personalView="1" xWindow="8" yWindow="39" windowWidth="887" windowHeight="958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  <customWorkbookView name="Захаревич Елена - Личное представление" guid="{1CA6CCC9-64EF-4CA9-9C9C-1E572976D134}" mergeInterval="0" personalView="1" xWindow="1187" yWindow="5" windowWidth="722" windowHeight="1034" activeSheetId="1"/>
    <customWorkbookView name="Власова Татьяна - Личное представление" guid="{98E64474-CDF2-4660-977D-8A2058B27A2F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2" i="1" l="1"/>
  <c r="G272" i="1"/>
  <c r="E272" i="1"/>
  <c r="E50" i="1"/>
  <c r="E48" i="1" s="1"/>
  <c r="E85" i="1"/>
  <c r="E83" i="1" s="1"/>
  <c r="F83" i="1"/>
  <c r="G83" i="1"/>
  <c r="E371" i="1"/>
  <c r="G706" i="1"/>
  <c r="F255" i="1"/>
  <c r="F254" i="1" s="1"/>
  <c r="F253" i="1" s="1"/>
  <c r="F252" i="1" s="1"/>
  <c r="G255" i="1"/>
  <c r="G254" i="1" s="1"/>
  <c r="G253" i="1" s="1"/>
  <c r="G252" i="1" s="1"/>
  <c r="F78" i="1"/>
  <c r="G78" i="1"/>
  <c r="F31" i="1"/>
  <c r="F339" i="1"/>
  <c r="G249" i="1"/>
  <c r="G237" i="1"/>
  <c r="G235" i="1"/>
  <c r="F238" i="1"/>
  <c r="F237" i="1"/>
  <c r="F235" i="1"/>
  <c r="F233" i="1"/>
  <c r="G220" i="1"/>
  <c r="E220" i="1"/>
  <c r="F220" i="1"/>
  <c r="F205" i="1"/>
  <c r="F203" i="1"/>
  <c r="F201" i="1"/>
  <c r="F199" i="1"/>
  <c r="F197" i="1"/>
  <c r="G448" i="1" l="1"/>
  <c r="F448" i="1"/>
  <c r="G508" i="1"/>
  <c r="E282" i="1"/>
  <c r="E280" i="1"/>
  <c r="E277" i="1"/>
  <c r="E276" i="1" s="1"/>
  <c r="F276" i="1"/>
  <c r="G276" i="1"/>
  <c r="F274" i="1"/>
  <c r="G274" i="1"/>
  <c r="E274" i="1"/>
  <c r="E175" i="1"/>
  <c r="F484" i="1"/>
  <c r="G484" i="1"/>
  <c r="E484" i="1"/>
  <c r="E481" i="1"/>
  <c r="E461" i="1"/>
  <c r="E459" i="1"/>
  <c r="E389" i="1"/>
  <c r="E388" i="1" s="1"/>
  <c r="G388" i="1"/>
  <c r="F388" i="1"/>
  <c r="E387" i="1"/>
  <c r="E386" i="1" s="1"/>
  <c r="E385" i="1"/>
  <c r="E384" i="1" s="1"/>
  <c r="F386" i="1"/>
  <c r="G386" i="1"/>
  <c r="F384" i="1"/>
  <c r="G384" i="1"/>
  <c r="F305" i="1"/>
  <c r="G305" i="1"/>
  <c r="E305" i="1"/>
  <c r="E454" i="1"/>
  <c r="F441" i="1"/>
  <c r="G441" i="1"/>
  <c r="E441" i="1"/>
  <c r="E391" i="1"/>
  <c r="E390" i="1" s="1"/>
  <c r="F390" i="1"/>
  <c r="G390" i="1"/>
  <c r="E341" i="1"/>
  <c r="E302" i="1"/>
  <c r="E298" i="1"/>
  <c r="E479" i="1"/>
  <c r="F476" i="1"/>
  <c r="G476" i="1"/>
  <c r="E476" i="1"/>
  <c r="E448" i="1"/>
  <c r="E508" i="1"/>
  <c r="F439" i="1"/>
  <c r="G439" i="1"/>
  <c r="E439" i="1"/>
  <c r="E375" i="1"/>
  <c r="E373" i="1"/>
  <c r="E515" i="1"/>
  <c r="E531" i="1"/>
  <c r="E530" i="1"/>
  <c r="F528" i="1"/>
  <c r="E528" i="1"/>
  <c r="E243" i="1"/>
  <c r="E242" i="1"/>
  <c r="E240" i="1"/>
  <c r="E237" i="1"/>
  <c r="E235" i="1"/>
  <c r="E233" i="1"/>
  <c r="E232" i="1" s="1"/>
  <c r="G206" i="1"/>
  <c r="F206" i="1"/>
  <c r="E206" i="1"/>
  <c r="E193" i="1"/>
  <c r="E191" i="1"/>
  <c r="E189" i="1"/>
  <c r="E187" i="1"/>
  <c r="E185" i="1"/>
  <c r="E183" i="1"/>
  <c r="E181" i="1"/>
  <c r="E179" i="1"/>
  <c r="E177" i="1"/>
  <c r="E255" i="1"/>
  <c r="G241" i="1"/>
  <c r="F241" i="1"/>
  <c r="G222" i="1"/>
  <c r="F222" i="1"/>
  <c r="E222" i="1"/>
  <c r="G232" i="1"/>
  <c r="F232" i="1"/>
  <c r="E225" i="1"/>
  <c r="E140" i="1"/>
  <c r="E137" i="1"/>
  <c r="F545" i="1"/>
  <c r="F544" i="1" s="1"/>
  <c r="E597" i="1"/>
  <c r="E592" i="1"/>
  <c r="E590" i="1"/>
  <c r="E588" i="1"/>
  <c r="G570" i="1"/>
  <c r="F570" i="1"/>
  <c r="E570" i="1"/>
  <c r="G556" i="1"/>
  <c r="F556" i="1"/>
  <c r="E556" i="1"/>
  <c r="F608" i="1"/>
  <c r="F607" i="1" s="1"/>
  <c r="F606" i="1" s="1"/>
  <c r="G608" i="1"/>
  <c r="G607" i="1" s="1"/>
  <c r="G606" i="1" s="1"/>
  <c r="E608" i="1"/>
  <c r="E607" i="1" s="1"/>
  <c r="E606" i="1" s="1"/>
  <c r="E626" i="1"/>
  <c r="E613" i="1"/>
  <c r="E644" i="1"/>
  <c r="E686" i="1"/>
  <c r="E685" i="1"/>
  <c r="E683" i="1"/>
  <c r="E674" i="1"/>
  <c r="E672" i="1"/>
  <c r="G669" i="1"/>
  <c r="F669" i="1"/>
  <c r="E669" i="1"/>
  <c r="E664" i="1"/>
  <c r="E662" i="1" s="1"/>
  <c r="F662" i="1"/>
  <c r="G662" i="1"/>
  <c r="E653" i="1"/>
  <c r="E650" i="1"/>
  <c r="F712" i="1"/>
  <c r="E712" i="1"/>
  <c r="F707" i="1"/>
  <c r="E707" i="1"/>
  <c r="E728" i="1"/>
  <c r="E60" i="1"/>
  <c r="E769" i="1"/>
  <c r="E763" i="1"/>
  <c r="E761" i="1"/>
  <c r="E776" i="1"/>
  <c r="F77" i="1"/>
  <c r="E113" i="1"/>
  <c r="E87" i="1"/>
  <c r="E82" i="1"/>
  <c r="E73" i="1"/>
  <c r="E72" i="1"/>
  <c r="E70" i="1"/>
  <c r="E793" i="1"/>
  <c r="E813" i="1"/>
  <c r="E811" i="1"/>
  <c r="E805" i="1"/>
  <c r="E802" i="1"/>
  <c r="E819" i="1"/>
  <c r="E271" i="1" l="1"/>
  <c r="E241" i="1"/>
  <c r="G271" i="1"/>
  <c r="F271" i="1"/>
  <c r="E705" i="1"/>
  <c r="E706" i="1"/>
  <c r="F705" i="1"/>
  <c r="F706" i="1"/>
  <c r="E254" i="1"/>
  <c r="E253" i="1" s="1"/>
  <c r="E252" i="1" s="1"/>
  <c r="E835" i="1"/>
  <c r="E77" i="1"/>
  <c r="E78" i="1"/>
  <c r="E116" i="1"/>
  <c r="E115" i="1"/>
  <c r="E101" i="1"/>
  <c r="E56" i="1"/>
  <c r="E54" i="1"/>
  <c r="E30" i="1"/>
  <c r="E31" i="1"/>
  <c r="E23" i="1"/>
  <c r="E26" i="1"/>
  <c r="G479" i="1"/>
  <c r="F431" i="1"/>
  <c r="F821" i="1"/>
  <c r="G821" i="1"/>
  <c r="F620" i="1"/>
  <c r="F619" i="1" s="1"/>
  <c r="G620" i="1"/>
  <c r="G619" i="1" s="1"/>
  <c r="F575" i="1"/>
  <c r="G575" i="1"/>
  <c r="E544" i="1"/>
  <c r="F535" i="1"/>
  <c r="G535" i="1"/>
  <c r="G474" i="1"/>
  <c r="F474" i="1"/>
  <c r="G443" i="1"/>
  <c r="F443" i="1"/>
  <c r="G437" i="1"/>
  <c r="F437" i="1"/>
  <c r="G435" i="1"/>
  <c r="F435" i="1"/>
  <c r="G433" i="1"/>
  <c r="F433" i="1"/>
  <c r="F425" i="1"/>
  <c r="G425" i="1"/>
  <c r="F419" i="1"/>
  <c r="G419" i="1"/>
  <c r="F382" i="1"/>
  <c r="G382" i="1"/>
  <c r="G380" i="1"/>
  <c r="G378" i="1"/>
  <c r="F376" i="1"/>
  <c r="G376" i="1"/>
  <c r="F334" i="1"/>
  <c r="G334" i="1"/>
  <c r="F307" i="1"/>
  <c r="G307" i="1"/>
  <c r="F303" i="1"/>
  <c r="G303" i="1"/>
  <c r="F299" i="1"/>
  <c r="G299" i="1"/>
  <c r="F288" i="1"/>
  <c r="F287" i="1" s="1"/>
  <c r="F286" i="1" s="1"/>
  <c r="G288" i="1"/>
  <c r="G287" i="1" s="1"/>
  <c r="G286" i="1" s="1"/>
  <c r="F204" i="1" l="1"/>
  <c r="G204" i="1"/>
  <c r="E204" i="1"/>
  <c r="F209" i="1"/>
  <c r="F208" i="1" s="1"/>
  <c r="E209" i="1"/>
  <c r="E208" i="1" s="1"/>
  <c r="G208" i="1"/>
  <c r="E202" i="1"/>
  <c r="G202" i="1"/>
  <c r="E200" i="1"/>
  <c r="F200" i="1"/>
  <c r="G200" i="1"/>
  <c r="E198" i="1"/>
  <c r="G198" i="1"/>
  <c r="G196" i="1"/>
  <c r="E196" i="1"/>
  <c r="E194" i="1"/>
  <c r="G194" i="1"/>
  <c r="G192" i="1"/>
  <c r="G190" i="1"/>
  <c r="F188" i="1"/>
  <c r="G188" i="1"/>
  <c r="F186" i="1"/>
  <c r="G186" i="1"/>
  <c r="F184" i="1"/>
  <c r="G184" i="1"/>
  <c r="F182" i="1"/>
  <c r="G182" i="1"/>
  <c r="F180" i="1"/>
  <c r="G180" i="1"/>
  <c r="F178" i="1"/>
  <c r="G178" i="1"/>
  <c r="F176" i="1"/>
  <c r="G176" i="1"/>
  <c r="F174" i="1"/>
  <c r="G174" i="1"/>
  <c r="F172" i="1"/>
  <c r="G172" i="1"/>
  <c r="F170" i="1"/>
  <c r="G170" i="1"/>
  <c r="F82" i="1"/>
  <c r="E840" i="1" l="1"/>
  <c r="E821" i="1"/>
  <c r="G807" i="1"/>
  <c r="G806" i="1" s="1"/>
  <c r="E806" i="1"/>
  <c r="F806" i="1"/>
  <c r="F804" i="1"/>
  <c r="F803" i="1" s="1"/>
  <c r="G804" i="1"/>
  <c r="E804" i="1"/>
  <c r="E803" i="1" s="1"/>
  <c r="F763" i="1"/>
  <c r="E746" i="1"/>
  <c r="E730" i="1"/>
  <c r="E718" i="1"/>
  <c r="G712" i="1"/>
  <c r="F381" i="1"/>
  <c r="F379" i="1"/>
  <c r="G803" i="1" l="1"/>
  <c r="E679" i="1"/>
  <c r="E680" i="1"/>
  <c r="G644" i="1"/>
  <c r="F644" i="1"/>
  <c r="E642" i="1"/>
  <c r="G613" i="1"/>
  <c r="F613" i="1"/>
  <c r="E620" i="1"/>
  <c r="E619" i="1" s="1"/>
  <c r="E616" i="1"/>
  <c r="E615" i="1"/>
  <c r="E566" i="1"/>
  <c r="E603" i="1"/>
  <c r="E599" i="1"/>
  <c r="E595" i="1"/>
  <c r="E575" i="1"/>
  <c r="E574" i="1"/>
  <c r="E568" i="1"/>
  <c r="G528" i="1"/>
  <c r="E535" i="1"/>
  <c r="E507" i="1"/>
  <c r="E498" i="1"/>
  <c r="E500" i="1"/>
  <c r="E501" i="1"/>
  <c r="E443" i="1"/>
  <c r="E428" i="1"/>
  <c r="F479" i="1"/>
  <c r="F446" i="1"/>
  <c r="E419" i="1"/>
  <c r="E487" i="1"/>
  <c r="F482" i="1"/>
  <c r="G482" i="1"/>
  <c r="E482" i="1"/>
  <c r="E465" i="1"/>
  <c r="E457" i="1"/>
  <c r="E456" i="1"/>
  <c r="E452" i="1"/>
  <c r="E446" i="1"/>
  <c r="E425" i="1"/>
  <c r="E474" i="1"/>
  <c r="E437" i="1"/>
  <c r="E435" i="1"/>
  <c r="E434" i="1"/>
  <c r="E433" i="1" s="1"/>
  <c r="F380" i="1"/>
  <c r="F378" i="1"/>
  <c r="F341" i="1"/>
  <c r="E383" i="1"/>
  <c r="E382" i="1" s="1"/>
  <c r="E377" i="1"/>
  <c r="E376" i="1" s="1"/>
  <c r="E380" i="1"/>
  <c r="E378" i="1"/>
  <c r="E374" i="1"/>
  <c r="E372" i="1"/>
  <c r="F374" i="1"/>
  <c r="G374" i="1"/>
  <c r="F372" i="1"/>
  <c r="G372" i="1"/>
  <c r="E398" i="1"/>
  <c r="E337" i="1"/>
  <c r="E335" i="1"/>
  <c r="E334" i="1" s="1"/>
  <c r="E293" i="1"/>
  <c r="E289" i="1"/>
  <c r="E288" i="1" s="1"/>
  <c r="E287" i="1" s="1"/>
  <c r="E286" i="1" s="1"/>
  <c r="E307" i="1"/>
  <c r="E303" i="1"/>
  <c r="E678" i="1" l="1"/>
  <c r="E299" i="1"/>
  <c r="F265" i="1"/>
  <c r="G265" i="1"/>
  <c r="E265" i="1"/>
  <c r="F202" i="1"/>
  <c r="F198" i="1"/>
  <c r="F196" i="1"/>
  <c r="F194" i="1"/>
  <c r="F192" i="1"/>
  <c r="F190" i="1"/>
  <c r="E192" i="1"/>
  <c r="E190" i="1"/>
  <c r="E188" i="1"/>
  <c r="E186" i="1"/>
  <c r="E184" i="1"/>
  <c r="E182" i="1"/>
  <c r="E180" i="1"/>
  <c r="E178" i="1"/>
  <c r="E176" i="1"/>
  <c r="E174" i="1"/>
  <c r="E172" i="1"/>
  <c r="E170" i="1"/>
  <c r="F168" i="1"/>
  <c r="G168" i="1"/>
  <c r="G167" i="1" s="1"/>
  <c r="E168" i="1"/>
  <c r="E231" i="1"/>
  <c r="E219" i="1"/>
  <c r="E218" i="1" s="1"/>
  <c r="E215" i="1"/>
  <c r="E213" i="1"/>
  <c r="F218" i="1"/>
  <c r="G218" i="1"/>
  <c r="E161" i="1"/>
  <c r="F167" i="1" l="1"/>
  <c r="E167" i="1"/>
  <c r="E159" i="1"/>
  <c r="F150" i="1"/>
  <c r="F149" i="1" s="1"/>
  <c r="F148" i="1" s="1"/>
  <c r="G150" i="1"/>
  <c r="G149" i="1" s="1"/>
  <c r="G148" i="1" s="1"/>
  <c r="E150" i="1"/>
  <c r="E149" i="1" s="1"/>
  <c r="E148" i="1" s="1"/>
  <c r="G147" i="1"/>
  <c r="F147" i="1"/>
  <c r="E147" i="1"/>
  <c r="F139" i="1"/>
  <c r="G139" i="1"/>
  <c r="E139" i="1"/>
  <c r="E93" i="1"/>
  <c r="E92" i="1" s="1"/>
  <c r="F96" i="1"/>
  <c r="G96" i="1"/>
  <c r="F100" i="1"/>
  <c r="G100" i="1"/>
  <c r="F98" i="1"/>
  <c r="G98" i="1"/>
  <c r="G94" i="1"/>
  <c r="F94" i="1"/>
  <c r="F92" i="1"/>
  <c r="G92" i="1"/>
  <c r="E96" i="1"/>
  <c r="E94" i="1"/>
  <c r="E111" i="1"/>
  <c r="E110" i="1"/>
  <c r="E80" i="1"/>
  <c r="E100" i="1"/>
  <c r="E104" i="1"/>
  <c r="E91" i="1"/>
  <c r="E98" i="1"/>
  <c r="E102" i="1"/>
  <c r="E682" i="1" l="1"/>
  <c r="E684" i="1" l="1"/>
  <c r="F370" i="1" l="1"/>
  <c r="G370" i="1"/>
  <c r="F368" i="1"/>
  <c r="G368" i="1"/>
  <c r="F366" i="1"/>
  <c r="G366" i="1"/>
  <c r="F364" i="1"/>
  <c r="G364" i="1"/>
  <c r="G680" i="1"/>
  <c r="F680" i="1"/>
  <c r="G493" i="1"/>
  <c r="F493" i="1"/>
  <c r="G418" i="1"/>
  <c r="F418" i="1"/>
  <c r="G339" i="1"/>
  <c r="F753" i="1"/>
  <c r="F755" i="1"/>
  <c r="F769" i="1"/>
  <c r="F786" i="1"/>
  <c r="F783" i="1"/>
  <c r="F780" i="1"/>
  <c r="F776" i="1"/>
  <c r="F767" i="1"/>
  <c r="G559" i="1"/>
  <c r="F559" i="1"/>
  <c r="E559" i="1"/>
  <c r="G557" i="1"/>
  <c r="F557" i="1"/>
  <c r="E557" i="1"/>
  <c r="G776" i="1"/>
  <c r="G755" i="1"/>
  <c r="G753" i="1"/>
  <c r="G769" i="1"/>
  <c r="G763" i="1"/>
  <c r="G786" i="1"/>
  <c r="G783" i="1"/>
  <c r="G780" i="1"/>
  <c r="G543" i="1"/>
  <c r="G542" i="1" s="1"/>
  <c r="F543" i="1"/>
  <c r="F542" i="1" s="1"/>
  <c r="E543" i="1"/>
  <c r="E542" i="1" s="1"/>
  <c r="G767" i="1"/>
  <c r="G405" i="1" l="1"/>
  <c r="F405" i="1"/>
  <c r="G403" i="1"/>
  <c r="F403" i="1"/>
  <c r="G341" i="1" l="1"/>
  <c r="G321" i="1"/>
  <c r="F321" i="1"/>
  <c r="G268" i="1"/>
  <c r="F268" i="1"/>
  <c r="G264" i="1"/>
  <c r="F264" i="1"/>
  <c r="G136" i="1"/>
  <c r="F136" i="1"/>
  <c r="G128" i="1"/>
  <c r="F128" i="1"/>
  <c r="G50" i="1"/>
  <c r="G48" i="1" s="1"/>
  <c r="F50" i="1"/>
  <c r="F48" i="1" s="1"/>
  <c r="G44" i="1"/>
  <c r="G43" i="1"/>
  <c r="F44" i="1"/>
  <c r="F43" i="1"/>
  <c r="G41" i="1"/>
  <c r="G38" i="1"/>
  <c r="F38" i="1"/>
  <c r="G42" i="1" l="1"/>
  <c r="F455" i="1" l="1"/>
  <c r="G455" i="1"/>
  <c r="E455" i="1"/>
  <c r="E584" i="1"/>
  <c r="E361" i="1" l="1"/>
  <c r="E353" i="1"/>
  <c r="E347" i="1"/>
  <c r="E321" i="1"/>
  <c r="E238" i="1"/>
  <c r="F76" i="1"/>
  <c r="G76" i="1"/>
  <c r="F760" i="1"/>
  <c r="G760" i="1"/>
  <c r="E760" i="1"/>
  <c r="E753" i="1"/>
  <c r="E493" i="1"/>
  <c r="E733" i="1"/>
  <c r="E704" i="1"/>
  <c r="E702" i="1"/>
  <c r="E697" i="1"/>
  <c r="E829" i="1"/>
  <c r="E786" i="1"/>
  <c r="E783" i="1"/>
  <c r="E780" i="1"/>
  <c r="F675" i="1"/>
  <c r="G675" i="1"/>
  <c r="E675" i="1"/>
  <c r="E655" i="1"/>
  <c r="E652" i="1"/>
  <c r="F591" i="1"/>
  <c r="G591" i="1"/>
  <c r="E591" i="1"/>
  <c r="F589" i="1"/>
  <c r="G589" i="1"/>
  <c r="E589" i="1"/>
  <c r="E586" i="1" l="1"/>
  <c r="E585" i="1" s="1"/>
  <c r="E582" i="1"/>
  <c r="F579" i="1" l="1"/>
  <c r="G579" i="1"/>
  <c r="E579" i="1"/>
  <c r="E578" i="1"/>
  <c r="F565" i="1"/>
  <c r="G565" i="1"/>
  <c r="E565" i="1"/>
  <c r="E562" i="1"/>
  <c r="F555" i="1"/>
  <c r="F554" i="1" s="1"/>
  <c r="F553" i="1" s="1"/>
  <c r="G555" i="1"/>
  <c r="G554" i="1" s="1"/>
  <c r="G553" i="1" s="1"/>
  <c r="E555" i="1"/>
  <c r="F551" i="1"/>
  <c r="G551" i="1"/>
  <c r="F549" i="1"/>
  <c r="G549" i="1"/>
  <c r="E551" i="1"/>
  <c r="E549" i="1"/>
  <c r="F547" i="1"/>
  <c r="G547" i="1"/>
  <c r="E547" i="1"/>
  <c r="E533" i="1"/>
  <c r="E522" i="1"/>
  <c r="E499" i="1"/>
  <c r="E497" i="1" s="1"/>
  <c r="E416" i="1"/>
  <c r="E405" i="1"/>
  <c r="E403" i="1"/>
  <c r="F399" i="1"/>
  <c r="G399" i="1"/>
  <c r="E399" i="1"/>
  <c r="E394" i="1"/>
  <c r="F229" i="1"/>
  <c r="E229" i="1"/>
  <c r="E136" i="1"/>
  <c r="E128" i="1"/>
  <c r="E767" i="1"/>
  <c r="E632" i="1"/>
  <c r="G431" i="1"/>
  <c r="F429" i="1"/>
  <c r="G429" i="1"/>
  <c r="E431" i="1"/>
  <c r="E429" i="1"/>
  <c r="E418" i="1"/>
  <c r="E369" i="1"/>
  <c r="E367" i="1"/>
  <c r="E365" i="1"/>
  <c r="E363" i="1"/>
  <c r="E359" i="1"/>
  <c r="E357" i="1"/>
  <c r="E355" i="1"/>
  <c r="E351" i="1"/>
  <c r="E349" i="1"/>
  <c r="E345" i="1"/>
  <c r="F320" i="1"/>
  <c r="F319" i="1" s="1"/>
  <c r="F318" i="1" s="1"/>
  <c r="G320" i="1"/>
  <c r="G319" i="1" s="1"/>
  <c r="G318" i="1" s="1"/>
  <c r="E320" i="1"/>
  <c r="E319" i="1" s="1"/>
  <c r="E318" i="1" s="1"/>
  <c r="E268" i="1"/>
  <c r="E546" i="1" l="1"/>
  <c r="E541" i="1" s="1"/>
  <c r="G546" i="1"/>
  <c r="G541" i="1" s="1"/>
  <c r="F546" i="1"/>
  <c r="F541" i="1" s="1"/>
  <c r="F162" i="1"/>
  <c r="G162" i="1"/>
  <c r="E162" i="1"/>
  <c r="E44" i="1"/>
  <c r="E43" i="1"/>
  <c r="E38" i="1"/>
  <c r="F596" i="1" l="1"/>
  <c r="G596" i="1"/>
  <c r="E596" i="1"/>
  <c r="F561" i="1"/>
  <c r="G561" i="1"/>
  <c r="E561" i="1"/>
  <c r="E554" i="1" s="1"/>
  <c r="E553" i="1" s="1"/>
  <c r="E55" i="1"/>
  <c r="F798" i="1"/>
  <c r="F797" i="1" s="1"/>
  <c r="G798" i="1"/>
  <c r="G797" i="1" s="1"/>
  <c r="E798" i="1"/>
  <c r="E797" i="1" s="1"/>
  <c r="E370" i="1"/>
  <c r="E368" i="1"/>
  <c r="E366" i="1"/>
  <c r="E364" i="1"/>
  <c r="F360" i="1"/>
  <c r="G360" i="1"/>
  <c r="F362" i="1"/>
  <c r="G362" i="1"/>
  <c r="E362" i="1"/>
  <c r="E360" i="1"/>
  <c r="F354" i="1" l="1"/>
  <c r="G354" i="1"/>
  <c r="F356" i="1"/>
  <c r="G356" i="1"/>
  <c r="F358" i="1"/>
  <c r="G358" i="1"/>
  <c r="E358" i="1"/>
  <c r="E356" i="1"/>
  <c r="E354" i="1"/>
  <c r="F348" i="1"/>
  <c r="G348" i="1"/>
  <c r="F350" i="1"/>
  <c r="G350" i="1"/>
  <c r="F352" i="1"/>
  <c r="G352" i="1"/>
  <c r="E352" i="1"/>
  <c r="E350" i="1"/>
  <c r="E348" i="1"/>
  <c r="F86" i="1"/>
  <c r="G86" i="1"/>
  <c r="E86" i="1"/>
  <c r="G166" i="1" l="1"/>
  <c r="F166" i="1"/>
  <c r="E166" i="1"/>
  <c r="F71" i="1" l="1"/>
  <c r="G71" i="1"/>
  <c r="E71" i="1"/>
  <c r="E21" i="1"/>
  <c r="E19" i="1"/>
  <c r="E17" i="1"/>
  <c r="F701" i="1"/>
  <c r="G701" i="1"/>
  <c r="F703" i="1"/>
  <c r="G703" i="1"/>
  <c r="E703" i="1"/>
  <c r="E701" i="1"/>
  <c r="E76" i="1"/>
  <c r="F404" i="1"/>
  <c r="G404" i="1"/>
  <c r="E404" i="1"/>
  <c r="F402" i="1"/>
  <c r="G402" i="1"/>
  <c r="E402" i="1"/>
  <c r="F393" i="1"/>
  <c r="F392" i="1" s="1"/>
  <c r="G393" i="1"/>
  <c r="G392" i="1" s="1"/>
  <c r="E393" i="1"/>
  <c r="E392" i="1" s="1"/>
  <c r="F631" i="1"/>
  <c r="F630" i="1" s="1"/>
  <c r="F629" i="1" s="1"/>
  <c r="G631" i="1"/>
  <c r="G630" i="1" s="1"/>
  <c r="G629" i="1" s="1"/>
  <c r="E631" i="1"/>
  <c r="E630" i="1" s="1"/>
  <c r="E629" i="1" s="1"/>
  <c r="F236" i="1"/>
  <c r="G236" i="1"/>
  <c r="E236" i="1"/>
  <c r="F696" i="1"/>
  <c r="F695" i="1" s="1"/>
  <c r="F694" i="1" s="1"/>
  <c r="G696" i="1"/>
  <c r="G695" i="1" s="1"/>
  <c r="G694" i="1" s="1"/>
  <c r="E696" i="1"/>
  <c r="E695" i="1" s="1"/>
  <c r="E694" i="1" s="1"/>
  <c r="F828" i="1"/>
  <c r="F827" i="1" s="1"/>
  <c r="F826" i="1" s="1"/>
  <c r="G828" i="1"/>
  <c r="G827" i="1" s="1"/>
  <c r="G826" i="1" s="1"/>
  <c r="E828" i="1"/>
  <c r="E827" i="1" s="1"/>
  <c r="E826" i="1" s="1"/>
  <c r="F445" i="1"/>
  <c r="G445" i="1"/>
  <c r="F447" i="1"/>
  <c r="G447" i="1"/>
  <c r="E447" i="1"/>
  <c r="E445" i="1"/>
  <c r="F415" i="1"/>
  <c r="G415" i="1"/>
  <c r="E415" i="1"/>
  <c r="F417" i="1"/>
  <c r="G417" i="1"/>
  <c r="E417" i="1"/>
  <c r="E109" i="1"/>
  <c r="E722" i="1"/>
  <c r="E134" i="1"/>
  <c r="E13" i="1"/>
  <c r="F226" i="1"/>
  <c r="G226" i="1"/>
  <c r="E226" i="1"/>
  <c r="E224" i="1"/>
  <c r="G229" i="1"/>
  <c r="F65" i="1"/>
  <c r="F64" i="1" s="1"/>
  <c r="F63" i="1" s="1"/>
  <c r="F62" i="1" s="1"/>
  <c r="F61" i="1" s="1"/>
  <c r="G65" i="1"/>
  <c r="G64" i="1" s="1"/>
  <c r="G63" i="1" s="1"/>
  <c r="G62" i="1" s="1"/>
  <c r="G61" i="1" s="1"/>
  <c r="E65" i="1"/>
  <c r="E64" i="1" s="1"/>
  <c r="E63" i="1" s="1"/>
  <c r="E62" i="1" s="1"/>
  <c r="E61" i="1" s="1"/>
  <c r="F336" i="1"/>
  <c r="G336" i="1"/>
  <c r="E336" i="1"/>
  <c r="F301" i="1"/>
  <c r="G301" i="1"/>
  <c r="E301" i="1"/>
  <c r="E245" i="1"/>
  <c r="F216" i="1"/>
  <c r="G216" i="1"/>
  <c r="E216" i="1"/>
  <c r="E700" i="1" l="1"/>
  <c r="E414" i="1"/>
  <c r="E413" i="1" s="1"/>
  <c r="G700" i="1"/>
  <c r="G699" i="1" s="1"/>
  <c r="G698" i="1" s="1"/>
  <c r="F700" i="1"/>
  <c r="F699" i="1" s="1"/>
  <c r="F698" i="1" s="1"/>
  <c r="E699" i="1"/>
  <c r="E698" i="1" s="1"/>
  <c r="F414" i="1"/>
  <c r="F413" i="1" s="1"/>
  <c r="G414" i="1"/>
  <c r="G413" i="1" s="1"/>
  <c r="E59" i="1"/>
  <c r="E58" i="1" s="1"/>
  <c r="E57" i="1" s="1"/>
  <c r="F59" i="1"/>
  <c r="F58" i="1" s="1"/>
  <c r="F57" i="1" s="1"/>
  <c r="G59" i="1"/>
  <c r="G58" i="1" s="1"/>
  <c r="G57" i="1" s="1"/>
  <c r="E514" i="1"/>
  <c r="E513" i="1" s="1"/>
  <c r="E512" i="1" s="1"/>
  <c r="E511" i="1" s="1"/>
  <c r="E510" i="1" s="1"/>
  <c r="E509" i="1" s="1"/>
  <c r="F514" i="1"/>
  <c r="F513" i="1" s="1"/>
  <c r="F512" i="1" s="1"/>
  <c r="F511" i="1" s="1"/>
  <c r="F510" i="1" s="1"/>
  <c r="F509" i="1" s="1"/>
  <c r="G514" i="1"/>
  <c r="G513" i="1" s="1"/>
  <c r="G512" i="1" s="1"/>
  <c r="G511" i="1" s="1"/>
  <c r="G510" i="1" s="1"/>
  <c r="G509" i="1" s="1"/>
  <c r="F91" i="1"/>
  <c r="G91" i="1"/>
  <c r="G109" i="1" l="1"/>
  <c r="F109" i="1"/>
  <c r="G120" i="1"/>
  <c r="G119" i="1" s="1"/>
  <c r="G118" i="1" s="1"/>
  <c r="G117" i="1" s="1"/>
  <c r="F120" i="1"/>
  <c r="F119" i="1" s="1"/>
  <c r="F118" i="1" s="1"/>
  <c r="F117" i="1" s="1"/>
  <c r="E120" i="1"/>
  <c r="E119" i="1" s="1"/>
  <c r="E118" i="1" s="1"/>
  <c r="E117" i="1" s="1"/>
  <c r="G115" i="1"/>
  <c r="G114" i="1" s="1"/>
  <c r="F115" i="1"/>
  <c r="F114" i="1" s="1"/>
  <c r="E114" i="1"/>
  <c r="E108" i="1" l="1"/>
  <c r="E107" i="1" s="1"/>
  <c r="E106" i="1" s="1"/>
  <c r="F108" i="1"/>
  <c r="F107" i="1" s="1"/>
  <c r="F106" i="1" s="1"/>
  <c r="G108" i="1"/>
  <c r="G107" i="1" s="1"/>
  <c r="G106" i="1" s="1"/>
  <c r="G250" i="1"/>
  <c r="F250" i="1"/>
  <c r="E250" i="1"/>
  <c r="G248" i="1"/>
  <c r="F248" i="1"/>
  <c r="E248" i="1"/>
  <c r="G224" i="1"/>
  <c r="F224" i="1"/>
  <c r="G839" i="1"/>
  <c r="G838" i="1" s="1"/>
  <c r="G837" i="1" s="1"/>
  <c r="G836" i="1" s="1"/>
  <c r="F839" i="1"/>
  <c r="F838" i="1" s="1"/>
  <c r="F837" i="1" s="1"/>
  <c r="F836" i="1" s="1"/>
  <c r="E839" i="1"/>
  <c r="E838" i="1" s="1"/>
  <c r="E837" i="1" s="1"/>
  <c r="E836" i="1" s="1"/>
  <c r="G768" i="1"/>
  <c r="F768" i="1"/>
  <c r="E768" i="1"/>
  <c r="G762" i="1"/>
  <c r="F762" i="1"/>
  <c r="E762" i="1"/>
  <c r="G766" i="1"/>
  <c r="F766" i="1"/>
  <c r="E766" i="1"/>
  <c r="G754" i="1"/>
  <c r="F754" i="1"/>
  <c r="E754" i="1"/>
  <c r="G752" i="1"/>
  <c r="F752" i="1"/>
  <c r="E752" i="1"/>
  <c r="G750" i="1"/>
  <c r="F750" i="1"/>
  <c r="E750" i="1"/>
  <c r="G506" i="1"/>
  <c r="G505" i="1" s="1"/>
  <c r="G504" i="1" s="1"/>
  <c r="G503" i="1" s="1"/>
  <c r="G502" i="1" s="1"/>
  <c r="F506" i="1"/>
  <c r="F505" i="1" s="1"/>
  <c r="F504" i="1" s="1"/>
  <c r="F503" i="1" s="1"/>
  <c r="F502" i="1" s="1"/>
  <c r="E506" i="1"/>
  <c r="E505" i="1" s="1"/>
  <c r="E504" i="1" s="1"/>
  <c r="E503" i="1" s="1"/>
  <c r="E502" i="1" s="1"/>
  <c r="G497" i="1"/>
  <c r="G496" i="1" s="1"/>
  <c r="G495" i="1" s="1"/>
  <c r="G494" i="1" s="1"/>
  <c r="F497" i="1"/>
  <c r="F496" i="1" s="1"/>
  <c r="F495" i="1" s="1"/>
  <c r="F494" i="1" s="1"/>
  <c r="E496" i="1"/>
  <c r="E495" i="1" s="1"/>
  <c r="E494" i="1" s="1"/>
  <c r="G492" i="1"/>
  <c r="G491" i="1" s="1"/>
  <c r="G490" i="1" s="1"/>
  <c r="G489" i="1" s="1"/>
  <c r="F492" i="1"/>
  <c r="F491" i="1" s="1"/>
  <c r="F490" i="1" s="1"/>
  <c r="F489" i="1" s="1"/>
  <c r="E492" i="1"/>
  <c r="E491" i="1" s="1"/>
  <c r="E490" i="1" s="1"/>
  <c r="E489" i="1" s="1"/>
  <c r="G486" i="1"/>
  <c r="F486" i="1"/>
  <c r="E486" i="1"/>
  <c r="G480" i="1"/>
  <c r="F480" i="1"/>
  <c r="E480" i="1"/>
  <c r="G478" i="1"/>
  <c r="F478" i="1"/>
  <c r="E478" i="1"/>
  <c r="G472" i="1"/>
  <c r="F472" i="1"/>
  <c r="E472" i="1"/>
  <c r="G470" i="1"/>
  <c r="F470" i="1"/>
  <c r="E470" i="1"/>
  <c r="G468" i="1"/>
  <c r="F468" i="1"/>
  <c r="E468" i="1"/>
  <c r="G466" i="1"/>
  <c r="F466" i="1"/>
  <c r="E466" i="1"/>
  <c r="G464" i="1"/>
  <c r="F464" i="1"/>
  <c r="E464" i="1"/>
  <c r="G462" i="1"/>
  <c r="F462" i="1"/>
  <c r="E462" i="1"/>
  <c r="G460" i="1"/>
  <c r="F460" i="1"/>
  <c r="E460" i="1"/>
  <c r="G458" i="1"/>
  <c r="F458" i="1"/>
  <c r="E458" i="1"/>
  <c r="G453" i="1"/>
  <c r="F453" i="1"/>
  <c r="E453" i="1"/>
  <c r="G451" i="1"/>
  <c r="F451" i="1"/>
  <c r="E451" i="1"/>
  <c r="G423" i="1"/>
  <c r="F423" i="1"/>
  <c r="E423" i="1"/>
  <c r="G314" i="1"/>
  <c r="G313" i="1" s="1"/>
  <c r="F314" i="1"/>
  <c r="F313" i="1" s="1"/>
  <c r="E314" i="1"/>
  <c r="E313" i="1" s="1"/>
  <c r="G292" i="1"/>
  <c r="G291" i="1" s="1"/>
  <c r="G290" i="1" s="1"/>
  <c r="G285" i="1" s="1"/>
  <c r="F292" i="1"/>
  <c r="F291" i="1" s="1"/>
  <c r="F290" i="1" s="1"/>
  <c r="F285" i="1" s="1"/>
  <c r="E292" i="1"/>
  <c r="E291" i="1" s="1"/>
  <c r="E290" i="1" s="1"/>
  <c r="E285" i="1" s="1"/>
  <c r="F247" i="1" l="1"/>
  <c r="G247" i="1"/>
  <c r="G246" i="1" s="1"/>
  <c r="E450" i="1"/>
  <c r="E449" i="1" s="1"/>
  <c r="F450" i="1"/>
  <c r="F449" i="1" s="1"/>
  <c r="G450" i="1"/>
  <c r="G449" i="1" s="1"/>
  <c r="F759" i="1"/>
  <c r="F758" i="1" s="1"/>
  <c r="G759" i="1"/>
  <c r="G758" i="1" s="1"/>
  <c r="E759" i="1"/>
  <c r="E758" i="1" s="1"/>
  <c r="F246" i="1"/>
  <c r="E247" i="1"/>
  <c r="E246" i="1" s="1"/>
  <c r="F765" i="1"/>
  <c r="F764" i="1" s="1"/>
  <c r="E765" i="1"/>
  <c r="E764" i="1" s="1"/>
  <c r="G765" i="1"/>
  <c r="G764" i="1" s="1"/>
  <c r="E749" i="1"/>
  <c r="E748" i="1" s="1"/>
  <c r="E747" i="1" s="1"/>
  <c r="F749" i="1"/>
  <c r="F748" i="1" s="1"/>
  <c r="F747" i="1" s="1"/>
  <c r="G749" i="1"/>
  <c r="G748" i="1" s="1"/>
  <c r="G747" i="1" s="1"/>
  <c r="F488" i="1"/>
  <c r="E488" i="1"/>
  <c r="G488" i="1"/>
  <c r="G409" i="1"/>
  <c r="F409" i="1"/>
  <c r="E409" i="1"/>
  <c r="G407" i="1"/>
  <c r="F407" i="1"/>
  <c r="E407" i="1"/>
  <c r="G397" i="1"/>
  <c r="G396" i="1" s="1"/>
  <c r="F397" i="1"/>
  <c r="F396" i="1" s="1"/>
  <c r="E397" i="1"/>
  <c r="E396" i="1" s="1"/>
  <c r="G332" i="1"/>
  <c r="F332" i="1"/>
  <c r="E332" i="1"/>
  <c r="G311" i="1"/>
  <c r="G310" i="1" s="1"/>
  <c r="G309" i="1" s="1"/>
  <c r="F311" i="1"/>
  <c r="F310" i="1" s="1"/>
  <c r="F309" i="1" s="1"/>
  <c r="E311" i="1"/>
  <c r="E310" i="1" s="1"/>
  <c r="E309" i="1" s="1"/>
  <c r="G146" i="1"/>
  <c r="G145" i="1" s="1"/>
  <c r="G144" i="1" s="1"/>
  <c r="G143" i="1" s="1"/>
  <c r="G142" i="1" s="1"/>
  <c r="F146" i="1"/>
  <c r="F145" i="1" s="1"/>
  <c r="F144" i="1" s="1"/>
  <c r="F143" i="1" s="1"/>
  <c r="F142" i="1" s="1"/>
  <c r="E146" i="1"/>
  <c r="E145" i="1" s="1"/>
  <c r="E144" i="1" s="1"/>
  <c r="E143" i="1" s="1"/>
  <c r="E142" i="1" s="1"/>
  <c r="E406" i="1" l="1"/>
  <c r="G406" i="1"/>
  <c r="F406" i="1"/>
  <c r="G757" i="1"/>
  <c r="F757" i="1"/>
  <c r="E757" i="1"/>
  <c r="E395" i="1" l="1"/>
  <c r="F395" i="1"/>
  <c r="G395" i="1"/>
  <c r="G427" i="1" l="1"/>
  <c r="G422" i="1" s="1"/>
  <c r="F427" i="1"/>
  <c r="F422" i="1" s="1"/>
  <c r="E427" i="1"/>
  <c r="E422" i="1" s="1"/>
  <c r="G346" i="1"/>
  <c r="F346" i="1"/>
  <c r="E346" i="1"/>
  <c r="G344" i="1"/>
  <c r="F344" i="1"/>
  <c r="E344" i="1"/>
  <c r="G342" i="1"/>
  <c r="F342" i="1"/>
  <c r="E342" i="1"/>
  <c r="G340" i="1"/>
  <c r="F340" i="1"/>
  <c r="E340" i="1"/>
  <c r="G338" i="1"/>
  <c r="F338" i="1"/>
  <c r="E338" i="1"/>
  <c r="G330" i="1"/>
  <c r="F330" i="1"/>
  <c r="E330" i="1"/>
  <c r="G328" i="1"/>
  <c r="F328" i="1"/>
  <c r="E328" i="1"/>
  <c r="G326" i="1"/>
  <c r="F326" i="1"/>
  <c r="E326" i="1"/>
  <c r="G324" i="1"/>
  <c r="F324" i="1"/>
  <c r="E324" i="1"/>
  <c r="G297" i="1"/>
  <c r="G296" i="1" s="1"/>
  <c r="F297" i="1"/>
  <c r="F296" i="1" s="1"/>
  <c r="E297" i="1"/>
  <c r="E296" i="1" s="1"/>
  <c r="G281" i="1"/>
  <c r="F281" i="1"/>
  <c r="E281" i="1"/>
  <c r="G279" i="1"/>
  <c r="F279" i="1"/>
  <c r="E279" i="1"/>
  <c r="G267" i="1"/>
  <c r="F267" i="1"/>
  <c r="E267" i="1"/>
  <c r="G263" i="1"/>
  <c r="F263" i="1"/>
  <c r="E263" i="1"/>
  <c r="G261" i="1"/>
  <c r="F261" i="1"/>
  <c r="E261" i="1"/>
  <c r="G244" i="1"/>
  <c r="F244" i="1"/>
  <c r="E244" i="1"/>
  <c r="G239" i="1"/>
  <c r="F239" i="1"/>
  <c r="E239" i="1"/>
  <c r="G234" i="1"/>
  <c r="F234" i="1"/>
  <c r="E234" i="1"/>
  <c r="G214" i="1"/>
  <c r="F214" i="1"/>
  <c r="E214" i="1"/>
  <c r="G212" i="1"/>
  <c r="F212" i="1"/>
  <c r="E212" i="1"/>
  <c r="G160" i="1"/>
  <c r="F160" i="1"/>
  <c r="E160" i="1"/>
  <c r="G158" i="1"/>
  <c r="F158" i="1"/>
  <c r="E158" i="1"/>
  <c r="G156" i="1"/>
  <c r="F156" i="1"/>
  <c r="E156" i="1"/>
  <c r="G211" i="1" l="1"/>
  <c r="G210" i="1" s="1"/>
  <c r="F211" i="1"/>
  <c r="F210" i="1" s="1"/>
  <c r="E211" i="1"/>
  <c r="E210" i="1" s="1"/>
  <c r="G323" i="1"/>
  <c r="E323" i="1"/>
  <c r="E322" i="1" s="1"/>
  <c r="E317" i="1" s="1"/>
  <c r="E316" i="1" s="1"/>
  <c r="F323" i="1"/>
  <c r="E260" i="1"/>
  <c r="E259" i="1" s="1"/>
  <c r="E258" i="1" s="1"/>
  <c r="G421" i="1"/>
  <c r="G412" i="1" s="1"/>
  <c r="G411" i="1" s="1"/>
  <c r="F421" i="1"/>
  <c r="F412" i="1" s="1"/>
  <c r="F411" i="1" s="1"/>
  <c r="E155" i="1"/>
  <c r="E154" i="1" s="1"/>
  <c r="E153" i="1" s="1"/>
  <c r="E152" i="1" s="1"/>
  <c r="F155" i="1"/>
  <c r="F154" i="1" s="1"/>
  <c r="F153" i="1" s="1"/>
  <c r="F152" i="1" s="1"/>
  <c r="G155" i="1"/>
  <c r="G154" i="1" s="1"/>
  <c r="G153" i="1" s="1"/>
  <c r="G152" i="1" s="1"/>
  <c r="F295" i="1"/>
  <c r="F294" i="1" s="1"/>
  <c r="F284" i="1" s="1"/>
  <c r="G295" i="1"/>
  <c r="G294" i="1" s="1"/>
  <c r="G284" i="1" s="1"/>
  <c r="E421" i="1"/>
  <c r="E412" i="1" s="1"/>
  <c r="F278" i="1"/>
  <c r="F270" i="1" s="1"/>
  <c r="F269" i="1" s="1"/>
  <c r="G278" i="1"/>
  <c r="G270" i="1" s="1"/>
  <c r="G269" i="1" s="1"/>
  <c r="F260" i="1"/>
  <c r="F259" i="1" s="1"/>
  <c r="F258" i="1" s="1"/>
  <c r="E278" i="1"/>
  <c r="E270" i="1" s="1"/>
  <c r="E269" i="1" s="1"/>
  <c r="E257" i="1" s="1"/>
  <c r="G260" i="1"/>
  <c r="G259" i="1" s="1"/>
  <c r="G258" i="1" s="1"/>
  <c r="G165" i="1" l="1"/>
  <c r="G164" i="1" s="1"/>
  <c r="F165" i="1"/>
  <c r="F164" i="1" s="1"/>
  <c r="E165" i="1"/>
  <c r="E164" i="1" s="1"/>
  <c r="E411" i="1"/>
  <c r="F322" i="1"/>
  <c r="G322" i="1"/>
  <c r="F257" i="1"/>
  <c r="G257" i="1"/>
  <c r="E141" i="1" l="1"/>
  <c r="F141" i="1"/>
  <c r="F317" i="1"/>
  <c r="F316" i="1" s="1"/>
  <c r="F283" i="1" s="1"/>
  <c r="G317" i="1"/>
  <c r="G316" i="1" s="1"/>
  <c r="G283" i="1" s="1"/>
  <c r="G141" i="1"/>
  <c r="G784" i="1" l="1"/>
  <c r="F784" i="1"/>
  <c r="E784" i="1"/>
  <c r="G781" i="1"/>
  <c r="F781" i="1"/>
  <c r="E781" i="1"/>
  <c r="G778" i="1"/>
  <c r="F778" i="1"/>
  <c r="E778" i="1"/>
  <c r="G773" i="1"/>
  <c r="G772" i="1" s="1"/>
  <c r="F773" i="1"/>
  <c r="F772" i="1" s="1"/>
  <c r="E773" i="1"/>
  <c r="E772" i="1" s="1"/>
  <c r="G823" i="1"/>
  <c r="G820" i="1" s="1"/>
  <c r="F823" i="1"/>
  <c r="F820" i="1" s="1"/>
  <c r="E823" i="1"/>
  <c r="E820" i="1" s="1"/>
  <c r="G818" i="1"/>
  <c r="G817" i="1" s="1"/>
  <c r="F818" i="1"/>
  <c r="F817" i="1" s="1"/>
  <c r="E818" i="1"/>
  <c r="E817" i="1" s="1"/>
  <c r="E689" i="1"/>
  <c r="F689" i="1" s="1"/>
  <c r="G684" i="1"/>
  <c r="F684" i="1"/>
  <c r="G682" i="1"/>
  <c r="F682" i="1"/>
  <c r="G679" i="1"/>
  <c r="F679" i="1"/>
  <c r="G673" i="1"/>
  <c r="F673" i="1"/>
  <c r="E673" i="1"/>
  <c r="G671" i="1"/>
  <c r="F671" i="1"/>
  <c r="E671" i="1"/>
  <c r="G668" i="1"/>
  <c r="G667" i="1" s="1"/>
  <c r="F668" i="1"/>
  <c r="F667" i="1" s="1"/>
  <c r="E668" i="1"/>
  <c r="E667" i="1" s="1"/>
  <c r="G665" i="1"/>
  <c r="F665" i="1"/>
  <c r="E665" i="1"/>
  <c r="G660" i="1"/>
  <c r="F660" i="1"/>
  <c r="E660" i="1"/>
  <c r="G658" i="1"/>
  <c r="F658" i="1"/>
  <c r="E658" i="1"/>
  <c r="E654" i="1"/>
  <c r="G654" i="1"/>
  <c r="F654" i="1"/>
  <c r="G651" i="1"/>
  <c r="F651" i="1"/>
  <c r="E651" i="1"/>
  <c r="G649" i="1"/>
  <c r="F649" i="1"/>
  <c r="E649" i="1"/>
  <c r="G625" i="1"/>
  <c r="G624" i="1" s="1"/>
  <c r="G623" i="1" s="1"/>
  <c r="G622" i="1" s="1"/>
  <c r="F625" i="1"/>
  <c r="F624" i="1" s="1"/>
  <c r="F623" i="1" s="1"/>
  <c r="F622" i="1" s="1"/>
  <c r="E625" i="1"/>
  <c r="E624" i="1" s="1"/>
  <c r="E623" i="1" s="1"/>
  <c r="E622" i="1" s="1"/>
  <c r="G617" i="1"/>
  <c r="F617" i="1"/>
  <c r="E617" i="1"/>
  <c r="G615" i="1"/>
  <c r="G614" i="1" s="1"/>
  <c r="F615" i="1"/>
  <c r="F614" i="1" s="1"/>
  <c r="E614" i="1"/>
  <c r="G612" i="1"/>
  <c r="F612" i="1"/>
  <c r="E612" i="1"/>
  <c r="G602" i="1"/>
  <c r="F602" i="1"/>
  <c r="E602" i="1"/>
  <c r="G600" i="1"/>
  <c r="F600" i="1"/>
  <c r="E600" i="1"/>
  <c r="G598" i="1"/>
  <c r="F598" i="1"/>
  <c r="E598" i="1"/>
  <c r="G594" i="1"/>
  <c r="F594" i="1"/>
  <c r="E594" i="1"/>
  <c r="G587" i="1"/>
  <c r="F587" i="1"/>
  <c r="E587" i="1"/>
  <c r="G585" i="1"/>
  <c r="F585" i="1"/>
  <c r="G583" i="1"/>
  <c r="F583" i="1"/>
  <c r="E583" i="1"/>
  <c r="G581" i="1"/>
  <c r="F581" i="1"/>
  <c r="E581" i="1"/>
  <c r="G577" i="1"/>
  <c r="F577" i="1"/>
  <c r="E577" i="1"/>
  <c r="G573" i="1"/>
  <c r="F573" i="1"/>
  <c r="E573" i="1"/>
  <c r="G571" i="1"/>
  <c r="F571" i="1"/>
  <c r="E571" i="1"/>
  <c r="E569" i="1"/>
  <c r="G569" i="1"/>
  <c r="F569" i="1"/>
  <c r="G567" i="1"/>
  <c r="F567" i="1"/>
  <c r="E567" i="1"/>
  <c r="G537" i="1"/>
  <c r="G534" i="1" s="1"/>
  <c r="F537" i="1"/>
  <c r="F534" i="1" s="1"/>
  <c r="E537" i="1"/>
  <c r="E534" i="1" s="1"/>
  <c r="G532" i="1"/>
  <c r="F532" i="1"/>
  <c r="E532" i="1"/>
  <c r="G529" i="1"/>
  <c r="F529" i="1"/>
  <c r="E529" i="1"/>
  <c r="G527" i="1"/>
  <c r="F527" i="1"/>
  <c r="E527" i="1"/>
  <c r="E521" i="1"/>
  <c r="E520" i="1" s="1"/>
  <c r="E519" i="1" s="1"/>
  <c r="G521" i="1"/>
  <c r="G520" i="1" s="1"/>
  <c r="G519" i="1" s="1"/>
  <c r="F521" i="1"/>
  <c r="F520" i="1" s="1"/>
  <c r="F519" i="1" s="1"/>
  <c r="G834" i="1"/>
  <c r="F834" i="1"/>
  <c r="E834" i="1"/>
  <c r="G832" i="1"/>
  <c r="F832" i="1"/>
  <c r="E832" i="1"/>
  <c r="G812" i="1"/>
  <c r="F812" i="1"/>
  <c r="E812" i="1"/>
  <c r="G810" i="1"/>
  <c r="F811" i="1"/>
  <c r="F810" i="1" s="1"/>
  <c r="E810" i="1"/>
  <c r="G802" i="1"/>
  <c r="G801" i="1" s="1"/>
  <c r="G800" i="1" s="1"/>
  <c r="G796" i="1" s="1"/>
  <c r="F802" i="1"/>
  <c r="F801" i="1" s="1"/>
  <c r="F800" i="1" s="1"/>
  <c r="F796" i="1" s="1"/>
  <c r="E801" i="1"/>
  <c r="E800" i="1" s="1"/>
  <c r="E796" i="1" s="1"/>
  <c r="G792" i="1"/>
  <c r="G791" i="1" s="1"/>
  <c r="G790" i="1" s="1"/>
  <c r="G789" i="1" s="1"/>
  <c r="F792" i="1"/>
  <c r="F791" i="1" s="1"/>
  <c r="F790" i="1" s="1"/>
  <c r="F789" i="1" s="1"/>
  <c r="E792" i="1"/>
  <c r="E791" i="1" s="1"/>
  <c r="E790" i="1" s="1"/>
  <c r="E789" i="1" s="1"/>
  <c r="E788" i="1" s="1"/>
  <c r="E564" i="1" l="1"/>
  <c r="E816" i="1"/>
  <c r="E815" i="1" s="1"/>
  <c r="E670" i="1"/>
  <c r="E657" i="1"/>
  <c r="E648" i="1"/>
  <c r="G648" i="1"/>
  <c r="F648" i="1"/>
  <c r="F564" i="1"/>
  <c r="G564" i="1"/>
  <c r="F670" i="1"/>
  <c r="G670" i="1"/>
  <c r="E593" i="1"/>
  <c r="G809" i="1"/>
  <c r="G808" i="1" s="1"/>
  <c r="G795" i="1" s="1"/>
  <c r="G794" i="1" s="1"/>
  <c r="F809" i="1"/>
  <c r="F808" i="1" s="1"/>
  <c r="F795" i="1" s="1"/>
  <c r="F794" i="1" s="1"/>
  <c r="E831" i="1"/>
  <c r="E830" i="1" s="1"/>
  <c r="E825" i="1" s="1"/>
  <c r="F831" i="1"/>
  <c r="F830" i="1" s="1"/>
  <c r="F825" i="1" s="1"/>
  <c r="G831" i="1"/>
  <c r="G830" i="1" s="1"/>
  <c r="G825" i="1" s="1"/>
  <c r="G777" i="1"/>
  <c r="G771" i="1" s="1"/>
  <c r="G770" i="1" s="1"/>
  <c r="G756" i="1" s="1"/>
  <c r="F816" i="1"/>
  <c r="F815" i="1" s="1"/>
  <c r="E777" i="1"/>
  <c r="E771" i="1" s="1"/>
  <c r="E770" i="1" s="1"/>
  <c r="E756" i="1" s="1"/>
  <c r="F777" i="1"/>
  <c r="F771" i="1" s="1"/>
  <c r="F770" i="1" s="1"/>
  <c r="F756" i="1" s="1"/>
  <c r="G816" i="1"/>
  <c r="G815" i="1" s="1"/>
  <c r="G678" i="1"/>
  <c r="F657" i="1"/>
  <c r="F678" i="1"/>
  <c r="G657" i="1"/>
  <c r="G689" i="1"/>
  <c r="G688" i="1" s="1"/>
  <c r="F688" i="1"/>
  <c r="E688" i="1"/>
  <c r="E611" i="1"/>
  <c r="F593" i="1"/>
  <c r="F611" i="1"/>
  <c r="G593" i="1"/>
  <c r="E526" i="1"/>
  <c r="E525" i="1" s="1"/>
  <c r="E518" i="1" s="1"/>
  <c r="E517" i="1" s="1"/>
  <c r="G526" i="1"/>
  <c r="G525" i="1" s="1"/>
  <c r="G518" i="1" s="1"/>
  <c r="F526" i="1"/>
  <c r="F525" i="1" s="1"/>
  <c r="G611" i="1"/>
  <c r="E809" i="1"/>
  <c r="E808" i="1" s="1"/>
  <c r="E795" i="1" s="1"/>
  <c r="E794" i="1" s="1"/>
  <c r="F788" i="1"/>
  <c r="G788" i="1"/>
  <c r="E610" i="1" l="1"/>
  <c r="E605" i="1" s="1"/>
  <c r="E604" i="1" s="1"/>
  <c r="G610" i="1"/>
  <c r="F610" i="1"/>
  <c r="E677" i="1"/>
  <c r="E647" i="1" s="1"/>
  <c r="E646" i="1" s="1"/>
  <c r="E645" i="1" s="1"/>
  <c r="F518" i="1"/>
  <c r="F517" i="1" s="1"/>
  <c r="G517" i="1"/>
  <c r="E814" i="1"/>
  <c r="E787" i="1" s="1"/>
  <c r="G814" i="1"/>
  <c r="G787" i="1" s="1"/>
  <c r="F814" i="1"/>
  <c r="F787" i="1" s="1"/>
  <c r="G677" i="1"/>
  <c r="G647" i="1" s="1"/>
  <c r="G646" i="1" s="1"/>
  <c r="G645" i="1" s="1"/>
  <c r="F677" i="1"/>
  <c r="F647" i="1" s="1"/>
  <c r="F646" i="1" s="1"/>
  <c r="F645" i="1" s="1"/>
  <c r="G563" i="1"/>
  <c r="G540" i="1" s="1"/>
  <c r="E563" i="1"/>
  <c r="E540" i="1" s="1"/>
  <c r="F563" i="1"/>
  <c r="F540" i="1" s="1"/>
  <c r="F605" i="1" l="1"/>
  <c r="F604" i="1" s="1"/>
  <c r="G605" i="1"/>
  <c r="G604" i="1" s="1"/>
  <c r="F539" i="1"/>
  <c r="E539" i="1"/>
  <c r="G539" i="1"/>
  <c r="G844" i="1"/>
  <c r="G843" i="1" s="1"/>
  <c r="G842" i="1" s="1"/>
  <c r="G841" i="1" s="1"/>
  <c r="F844" i="1"/>
  <c r="F843" i="1" s="1"/>
  <c r="F842" i="1" s="1"/>
  <c r="F841" i="1" s="1"/>
  <c r="E844" i="1"/>
  <c r="E843" i="1" s="1"/>
  <c r="E842" i="1" s="1"/>
  <c r="E841" i="1" s="1"/>
  <c r="G745" i="1"/>
  <c r="F745" i="1"/>
  <c r="E745" i="1"/>
  <c r="G743" i="1"/>
  <c r="F743" i="1"/>
  <c r="E743" i="1"/>
  <c r="G739" i="1"/>
  <c r="G738" i="1" s="1"/>
  <c r="G737" i="1" s="1"/>
  <c r="F739" i="1"/>
  <c r="F738" i="1" s="1"/>
  <c r="F737" i="1" s="1"/>
  <c r="E739" i="1"/>
  <c r="E738" i="1" s="1"/>
  <c r="E737" i="1" s="1"/>
  <c r="G643" i="1"/>
  <c r="F643" i="1"/>
  <c r="E643" i="1"/>
  <c r="G641" i="1"/>
  <c r="F641" i="1"/>
  <c r="E641" i="1"/>
  <c r="G639" i="1"/>
  <c r="F639" i="1"/>
  <c r="E639" i="1"/>
  <c r="G635" i="1"/>
  <c r="G634" i="1" s="1"/>
  <c r="G633" i="1" s="1"/>
  <c r="F635" i="1"/>
  <c r="F634" i="1" s="1"/>
  <c r="F633" i="1" s="1"/>
  <c r="E635" i="1"/>
  <c r="E634" i="1" s="1"/>
  <c r="E633" i="1" s="1"/>
  <c r="E742" i="1" l="1"/>
  <c r="E741" i="1" s="1"/>
  <c r="E736" i="1" s="1"/>
  <c r="F742" i="1"/>
  <c r="F741" i="1" s="1"/>
  <c r="F736" i="1" s="1"/>
  <c r="G742" i="1"/>
  <c r="G741" i="1" s="1"/>
  <c r="E638" i="1"/>
  <c r="E637" i="1" s="1"/>
  <c r="F638" i="1"/>
  <c r="F637" i="1" s="1"/>
  <c r="F628" i="1" s="1"/>
  <c r="G638" i="1"/>
  <c r="G637" i="1" s="1"/>
  <c r="G628" i="1" l="1"/>
  <c r="G627" i="1" s="1"/>
  <c r="G516" i="1" s="1"/>
  <c r="F627" i="1"/>
  <c r="F516" i="1" s="1"/>
  <c r="E628" i="1"/>
  <c r="E627" i="1" s="1"/>
  <c r="E516" i="1" s="1"/>
  <c r="G736" i="1"/>
  <c r="G734" i="1"/>
  <c r="F734" i="1"/>
  <c r="E734" i="1"/>
  <c r="G732" i="1"/>
  <c r="F732" i="1"/>
  <c r="E732" i="1"/>
  <c r="G729" i="1"/>
  <c r="F729" i="1"/>
  <c r="E729" i="1"/>
  <c r="G727" i="1"/>
  <c r="F727" i="1"/>
  <c r="E727" i="1"/>
  <c r="G724" i="1"/>
  <c r="F724" i="1"/>
  <c r="E724" i="1"/>
  <c r="G721" i="1"/>
  <c r="F721" i="1"/>
  <c r="E721" i="1"/>
  <c r="G717" i="1"/>
  <c r="G716" i="1" s="1"/>
  <c r="G715" i="1" s="1"/>
  <c r="F717" i="1"/>
  <c r="F716" i="1" s="1"/>
  <c r="F715" i="1" s="1"/>
  <c r="E717" i="1"/>
  <c r="E716" i="1" s="1"/>
  <c r="E715" i="1" s="1"/>
  <c r="E711" i="1"/>
  <c r="E710" i="1" s="1"/>
  <c r="G711" i="1"/>
  <c r="G710" i="1" s="1"/>
  <c r="G709" i="1" s="1"/>
  <c r="G693" i="1" s="1"/>
  <c r="F711" i="1"/>
  <c r="F710" i="1" s="1"/>
  <c r="F709" i="1" s="1"/>
  <c r="F693" i="1" s="1"/>
  <c r="G137" i="1"/>
  <c r="F137" i="1"/>
  <c r="G134" i="1"/>
  <c r="G133" i="1" s="1"/>
  <c r="F134" i="1"/>
  <c r="F133" i="1" s="1"/>
  <c r="E133" i="1"/>
  <c r="G131" i="1"/>
  <c r="F131" i="1"/>
  <c r="E131" i="1"/>
  <c r="G127" i="1"/>
  <c r="G126" i="1" s="1"/>
  <c r="G125" i="1" s="1"/>
  <c r="F127" i="1"/>
  <c r="F126" i="1" s="1"/>
  <c r="F125" i="1" s="1"/>
  <c r="E127" i="1"/>
  <c r="E126" i="1" s="1"/>
  <c r="E125" i="1" s="1"/>
  <c r="F692" i="1" l="1"/>
  <c r="G692" i="1"/>
  <c r="E709" i="1"/>
  <c r="E693" i="1" s="1"/>
  <c r="F726" i="1"/>
  <c r="E720" i="1"/>
  <c r="G135" i="1"/>
  <c r="F135" i="1"/>
  <c r="F130" i="1" s="1"/>
  <c r="E135" i="1"/>
  <c r="G720" i="1"/>
  <c r="F731" i="1"/>
  <c r="F720" i="1"/>
  <c r="E731" i="1"/>
  <c r="G726" i="1"/>
  <c r="G731" i="1"/>
  <c r="E726" i="1"/>
  <c r="F129" i="1" l="1"/>
  <c r="F124" i="1" s="1"/>
  <c r="F123" i="1" s="1"/>
  <c r="F122" i="1" s="1"/>
  <c r="G130" i="1"/>
  <c r="G129" i="1" s="1"/>
  <c r="G124" i="1" s="1"/>
  <c r="G123" i="1" s="1"/>
  <c r="G122" i="1" s="1"/>
  <c r="E130" i="1"/>
  <c r="E129" i="1" s="1"/>
  <c r="E124" i="1" s="1"/>
  <c r="E123" i="1" s="1"/>
  <c r="E122" i="1" s="1"/>
  <c r="E692" i="1"/>
  <c r="E719" i="1"/>
  <c r="E714" i="1" s="1"/>
  <c r="F719" i="1"/>
  <c r="F714" i="1" s="1"/>
  <c r="F713" i="1" s="1"/>
  <c r="F691" i="1" s="1"/>
  <c r="G719" i="1"/>
  <c r="G714" i="1" s="1"/>
  <c r="G713" i="1" s="1"/>
  <c r="G691" i="1" s="1"/>
  <c r="E713" i="1" l="1"/>
  <c r="E691" i="1" s="1"/>
  <c r="E29" i="1"/>
  <c r="F90" i="1" l="1"/>
  <c r="G90" i="1"/>
  <c r="E90" i="1"/>
  <c r="G69" i="1"/>
  <c r="F69" i="1"/>
  <c r="E69" i="1"/>
  <c r="F56" i="1"/>
  <c r="G56" i="1"/>
  <c r="G55" i="1"/>
  <c r="F55" i="1"/>
  <c r="G54" i="1"/>
  <c r="F54" i="1"/>
  <c r="F80" i="1"/>
  <c r="G82" i="1"/>
  <c r="G80" i="1" s="1"/>
  <c r="G47" i="1"/>
  <c r="G46" i="1" s="1"/>
  <c r="G45" i="1" s="1"/>
  <c r="F47" i="1"/>
  <c r="F46" i="1" s="1"/>
  <c r="F45" i="1" s="1"/>
  <c r="E47" i="1"/>
  <c r="E46" i="1" s="1"/>
  <c r="E45" i="1" s="1"/>
  <c r="F42" i="1"/>
  <c r="E42" i="1"/>
  <c r="G39" i="1"/>
  <c r="F39" i="1"/>
  <c r="E39" i="1"/>
  <c r="G37" i="1"/>
  <c r="F37" i="1"/>
  <c r="E37" i="1"/>
  <c r="G35" i="1"/>
  <c r="F35" i="1"/>
  <c r="E35" i="1"/>
  <c r="G29" i="1"/>
  <c r="F29" i="1"/>
  <c r="G12" i="1"/>
  <c r="G11" i="1" s="1"/>
  <c r="G10" i="1" s="1"/>
  <c r="F12" i="1"/>
  <c r="F11" i="1" s="1"/>
  <c r="F10" i="1" s="1"/>
  <c r="E12" i="1"/>
  <c r="E11" i="1" s="1"/>
  <c r="E10" i="1" s="1"/>
  <c r="G88" i="1"/>
  <c r="F88" i="1"/>
  <c r="E88" i="1"/>
  <c r="G25" i="1"/>
  <c r="F25" i="1"/>
  <c r="E25" i="1"/>
  <c r="G22" i="1"/>
  <c r="F22" i="1"/>
  <c r="E22" i="1"/>
  <c r="G20" i="1"/>
  <c r="F20" i="1"/>
  <c r="E20" i="1"/>
  <c r="G18" i="1"/>
  <c r="F18" i="1"/>
  <c r="E18" i="1"/>
  <c r="G16" i="1"/>
  <c r="F16" i="1"/>
  <c r="E16" i="1"/>
  <c r="E68" i="1" l="1"/>
  <c r="E67" i="1" s="1"/>
  <c r="G68" i="1"/>
  <c r="F68" i="1"/>
  <c r="E34" i="1"/>
  <c r="E28" i="1" s="1"/>
  <c r="E27" i="1" s="1"/>
  <c r="E295" i="1" s="1"/>
  <c r="E15" i="1"/>
  <c r="E14" i="1" s="1"/>
  <c r="G53" i="1"/>
  <c r="G52" i="1" s="1"/>
  <c r="G51" i="1" s="1"/>
  <c r="F53" i="1"/>
  <c r="F52" i="1" s="1"/>
  <c r="F51" i="1" s="1"/>
  <c r="E53" i="1"/>
  <c r="E52" i="1" s="1"/>
  <c r="E51" i="1" s="1"/>
  <c r="G34" i="1"/>
  <c r="G28" i="1" s="1"/>
  <c r="G27" i="1" s="1"/>
  <c r="F34" i="1"/>
  <c r="F28" i="1" s="1"/>
  <c r="F27" i="1" s="1"/>
  <c r="G15" i="1"/>
  <c r="G14" i="1" s="1"/>
  <c r="F15" i="1"/>
  <c r="F14" i="1" s="1"/>
  <c r="E294" i="1" l="1"/>
  <c r="E284" i="1" s="1"/>
  <c r="E283" i="1" s="1"/>
  <c r="E9" i="1"/>
  <c r="G67" i="1"/>
  <c r="G9" i="1" s="1"/>
  <c r="G847" i="1" s="1"/>
  <c r="F67" i="1"/>
  <c r="F9" i="1" s="1"/>
  <c r="F847" i="1" s="1"/>
  <c r="E84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Власова Татьяна</author>
  </authors>
  <commentList>
    <comment ref="E576" authorId="0" guid="{48DFA5DB-3CF3-4303-9BE5-FCB4126D1AEA}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Власова Татьяна:</t>
        </r>
        <r>
          <rPr>
            <sz val="9"/>
            <color indexed="81"/>
            <rFont val="Tahoma"/>
            <family val="2"/>
            <charset val="204"/>
          </rPr>
          <t xml:space="preserve">
ВР 622 +100 тр (с ВР 622)
</t>
        </r>
      </text>
    </comment>
  </commentList>
</comments>
</file>

<file path=xl/sharedStrings.xml><?xml version="1.0" encoding="utf-8"?>
<sst xmlns="http://schemas.openxmlformats.org/spreadsheetml/2006/main" count="2618" uniqueCount="789">
  <si>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</si>
  <si>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</si>
  <si>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</si>
  <si>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</si>
  <si>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</si>
  <si>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</si>
  <si>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</si>
  <si>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</si>
  <si>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</si>
  <si>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</si>
  <si>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</si>
  <si>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</si>
  <si>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</si>
  <si>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</si>
  <si>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</si>
  <si>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</si>
  <si>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</si>
  <si>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</si>
  <si>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</si>
  <si>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</si>
  <si>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</si>
  <si>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</si>
  <si>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</si>
  <si>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</si>
  <si>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</si>
  <si>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</si>
  <si>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</si>
  <si>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</si>
  <si>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</si>
  <si>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</si>
  <si>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</si>
  <si>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</si>
  <si>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</si>
  <si>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</si>
  <si>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</si>
  <si>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</si>
  <si>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</si>
  <si>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</si>
  <si>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</si>
  <si>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</si>
  <si>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</si>
  <si>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</si>
  <si>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</si>
  <si>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</si>
  <si>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</si>
  <si>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</si>
  <si>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</si>
  <si>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</si>
  <si>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</si>
  <si>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</si>
  <si>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</si>
  <si>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</si>
  <si>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</si>
  <si>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</si>
  <si>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</si>
  <si>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</si>
  <si>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</si>
  <si>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</si>
  <si>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</si>
  <si>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</si>
  <si>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</si>
  <si>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</si>
  <si>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</si>
  <si>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</si>
  <si>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</si>
  <si>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</si>
  <si>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</si>
  <si>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</si>
  <si>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</si>
  <si>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</si>
  <si>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</si>
  <si>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</si>
  <si>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</si>
  <si>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</si>
  <si>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</si>
  <si>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</si>
  <si>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</si>
  <si>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</si>
  <si>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</si>
  <si>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</si>
  <si>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</si>
  <si>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</si>
  <si>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</si>
  <si>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</si>
  <si>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</si>
  <si>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</si>
  <si>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</si>
  <si>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</si>
  <si>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</si>
  <si>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</si>
  <si>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</si>
  <si>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</si>
  <si>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</si>
  <si>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</si>
  <si>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</si>
  <si>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</si>
  <si>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</si>
  <si>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</si>
  <si>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</si>
  <si>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</si>
  <si>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</si>
  <si>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</si>
  <si>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</si>
  <si>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</si>
  <si>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</si>
  <si>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</si>
  <si>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</si>
  <si>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</si>
  <si>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</si>
  <si>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</si>
  <si>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</si>
  <si>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</si>
  <si>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</si>
  <si>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</si>
  <si>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</si>
  <si>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</si>
  <si>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</si>
  <si>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</si>
  <si>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</si>
  <si>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</si>
  <si>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</si>
  <si>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</si>
  <si>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</si>
  <si>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</si>
  <si>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</si>
  <si>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</si>
  <si>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</si>
  <si>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</si>
  <si>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</si>
  <si>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</si>
  <si>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</si>
  <si>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</si>
  <si>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</si>
  <si>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</si>
  <si>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</si>
  <si>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</si>
  <si>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</si>
  <si>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</si>
  <si>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</si>
  <si>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</si>
  <si>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</si>
  <si>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</si>
  <si>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</si>
  <si>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</si>
  <si>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</si>
  <si>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Муниципальный проект города Благовещенска "Профилактика преступлений и правонарушений"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</si>
  <si>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</si>
  <si>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</si>
  <si>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</si>
  <si>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</si>
  <si>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</si>
  <si>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</si>
  <si>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</si>
  <si>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</si>
  <si>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</si>
  <si>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</si>
  <si>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</si>
  <si>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</si>
  <si>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</si>
  <si>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</si>
  <si>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</si>
  <si>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</si>
  <si>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</si>
  <si>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</si>
  <si>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</si>
  <si>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</si>
  <si>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</si>
  <si>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</si>
  <si>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</si>
  <si>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</si>
  <si>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</si>
  <si>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</si>
  <si>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</si>
  <si>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</si>
  <si>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</si>
  <si>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</si>
  <si>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</si>
  <si>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</si>
  <si>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</si>
  <si>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</si>
  <si>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</si>
  <si>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</si>
  <si>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</si>
  <si>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</si>
  <si>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</si>
  <si>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</si>
  <si>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</si>
  <si>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</si>
  <si>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</si>
  <si>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</si>
  <si>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</si>
  <si>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</si>
  <si>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</si>
  <si>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</si>
  <si>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</si>
  <si>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</si>
  <si>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</si>
  <si>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</si>
  <si>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</si>
  <si>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</si>
  <si>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</si>
  <si>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</si>
  <si>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</si>
  <si>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</si>
  <si>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</si>
  <si>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</si>
  <si>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</si>
  <si>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</si>
  <si>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</si>
  <si>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</si>
  <si>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</si>
  <si>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</si>
  <si>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</si>
  <si>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</si>
  <si>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</si>
  <si>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</si>
  <si>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</si>
  <si>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</si>
  <si>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</si>
  <si>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</si>
  <si>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</si>
  <si>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</si>
  <si>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</si>
  <si>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</si>
  <si>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</si>
  <si>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</si>
  <si>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</si>
  <si>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</si>
  <si>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</si>
  <si>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</si>
  <si>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</si>
  <si>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</si>
  <si>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</si>
  <si>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</si>
  <si>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</si>
  <si>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</si>
  <si>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</si>
  <si>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</si>
  <si>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</si>
  <si>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</si>
  <si>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</si>
  <si>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</si>
  <si>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</si>
  <si>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</si>
  <si>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</si>
  <si>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</si>
  <si>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</si>
  <si>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</si>
  <si>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</si>
  <si>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</si>
  <si>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</si>
  <si>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</si>
  <si>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</si>
  <si>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</si>
  <si>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</si>
  <si>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</si>
  <si>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</si>
  <si>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</si>
  <si>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</si>
  <si>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</si>
  <si>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</si>
  <si>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</si>
  <si>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</si>
  <si>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</si>
  <si>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</si>
  <si>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</si>
  <si>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</si>
  <si>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</si>
  <si>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</si>
  <si>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</si>
  <si>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</si>
  <si>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</si>
  <si>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</si>
  <si>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</si>
  <si>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</si>
  <si>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</si>
  <si>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</si>
  <si>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</si>
  <si>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</si>
  <si>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</si>
  <si>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</si>
  <si>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</si>
  <si>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</si>
  <si>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</si>
  <si>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</si>
  <si>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</si>
  <si>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</si>
  <si>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</si>
  <si>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</si>
  <si>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</si>
  <si>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</si>
  <si>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</si>
  <si>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</si>
  <si>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</si>
  <si>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</si>
  <si>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</si>
  <si>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</si>
  <si>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</si>
  <si>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</si>
  <si>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</si>
  <si>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</si>
  <si>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</si>
  <si>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</si>
  <si>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</si>
  <si>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</si>
  <si>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</si>
  <si>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</si>
  <si>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</si>
  <si>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</si>
  <si>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</si>
  <si>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</si>
  <si>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</si>
  <si>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</si>
  <si>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</si>
  <si>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</si>
  <si>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</si>
  <si>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</si>
  <si>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</si>
  <si>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</si>
  <si>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</si>
  <si>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</si>
  <si>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</si>
  <si>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</si>
  <si>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</si>
  <si>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</si>
  <si>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</si>
  <si>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</si>
  <si>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</si>
  <si>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</si>
  <si>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</si>
  <si>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</si>
  <si>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</si>
  <si>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</si>
  <si>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</si>
  <si>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</si>
  <si>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</si>
  <si>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</si>
  <si>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</si>
  <si>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</si>
  <si>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</si>
  <si>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</si>
  <si>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</si>
  <si>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</si>
  <si>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</si>
  <si>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</si>
  <si>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</si>
  <si>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</si>
  <si>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</si>
  <si>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</si>
  <si>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</si>
  <si>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</si>
  <si>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</si>
  <si>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</si>
  <si>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</si>
  <si>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</si>
  <si>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</si>
  <si>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</si>
  <si>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</si>
  <si>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</si>
  <si>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</si>
  <si>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</si>
  <si>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</si>
  <si>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</si>
  <si>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</si>
  <si>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</si>
  <si>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</si>
  <si>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</si>
  <si>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</si>
  <si>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</si>
  <si>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</si>
  <si>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</si>
  <si>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</si>
  <si>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</si>
  <si>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</si>
  <si>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</si>
  <si>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</si>
  <si>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</si>
  <si>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</si>
  <si>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</si>
  <si>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</si>
  <si>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</si>
  <si>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</si>
  <si>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</si>
  <si>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</si>
  <si>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</si>
  <si>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</si>
  <si>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</si>
  <si>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</si>
  <si>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</si>
  <si>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</si>
  <si>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</si>
  <si>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</si>
  <si>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</si>
  <si>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</si>
  <si>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</si>
  <si>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</si>
  <si>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</si>
  <si>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</si>
  <si>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03 3 02 60360</t>
  </si>
  <si>
    <t>Расходы, направленные на ремонт общественных бань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</si>
  <si>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
осуществляющего функции в жилищной сфере"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</si>
  <si>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</si>
  <si>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</si>
  <si>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</si>
  <si>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</si>
  <si>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</si>
  <si>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</si>
  <si>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</si>
  <si>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</si>
  <si>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</si>
  <si>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</si>
  <si>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</si>
  <si>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</si>
  <si>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</si>
  <si>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</si>
  <si>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</si>
  <si>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</si>
  <si>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</si>
  <si>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</si>
  <si>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</si>
  <si>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</si>
  <si>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</si>
  <si>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</si>
  <si>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</si>
  <si>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</si>
  <si>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</si>
  <si>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</si>
  <si>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</si>
  <si>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</si>
  <si>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</si>
  <si>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</si>
  <si>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</si>
  <si>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</si>
  <si>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</si>
  <si>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</si>
  <si>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</si>
  <si>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</si>
  <si>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</si>
  <si>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</si>
  <si>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</si>
  <si>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</si>
  <si>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</si>
  <si>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</si>
  <si>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</si>
  <si>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</si>
  <si>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</si>
  <si>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</si>
  <si>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</si>
  <si>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</si>
  <si>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</si>
  <si>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</si>
  <si>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</si>
  <si>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</si>
  <si>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</si>
  <si>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</si>
  <si>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</si>
  <si>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</si>
  <si>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</si>
  <si>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</si>
  <si>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</si>
  <si>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</si>
  <si>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</si>
  <si>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</si>
  <si>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</si>
  <si>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</si>
  <si>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</si>
  <si>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</si>
  <si>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</si>
  <si>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</si>
  <si>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</si>
  <si>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</si>
  <si>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</si>
  <si>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</si>
  <si>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</si>
  <si>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</si>
  <si>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</si>
  <si>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</si>
  <si>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</si>
  <si>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</si>
  <si>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</si>
  <si>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</si>
  <si>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</si>
  <si>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</si>
  <si>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</si>
  <si>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</si>
  <si>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</si>
  <si>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</si>
  <si>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</si>
  <si>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</si>
  <si>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</si>
  <si>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</si>
  <si>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</si>
  <si>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</si>
  <si>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</si>
  <si>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</si>
  <si>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</si>
  <si>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</si>
  <si>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</si>
  <si>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</si>
  <si>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</si>
  <si>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</si>
  <si>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</si>
  <si>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Автомобильная дорога по ул.Конная от  ул.Пушкина до ул.Набережная, г.Благовещенск, Амурская область (оплата за публичный сервитут)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</si>
  <si>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</si>
  <si>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</si>
  <si>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</si>
  <si>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</si>
  <si>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03 3 04 10550</t>
  </si>
  <si>
    <t>02 3 02 9Д003</t>
  </si>
  <si>
    <t>02 3 02 9Д004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</si>
  <si>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</si>
  <si>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</si>
  <si>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от 05.12.2024 № 6/45</t>
  </si>
  <si>
    <t>Обустройство примыкания к автомобильной дороге по ул. Ленина на участке от ул.Политехническая до ул.Чайковского</t>
  </si>
  <si>
    <t>02 2 01 9Д005</t>
  </si>
  <si>
    <t>Разработка проектно-сметной документации на выполнение капитального ремонта общего имущества МКД</t>
  </si>
  <si>
    <t>03 2 02 10222</t>
  </si>
  <si>
    <t>Прочие затраты на содержание газовой котельной в Северном планировочном районе г.Благовещенска,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</si>
  <si>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03 2 01 9Т001</t>
  </si>
  <si>
    <t>Прикладные научные исследования в области общегосударственных вопросов</t>
  </si>
  <si>
    <t>Орнитологические исследования</t>
  </si>
  <si>
    <t>0112</t>
  </si>
  <si>
    <t>11 3 01 10819</t>
  </si>
  <si>
    <t>Приобретение специализированной техники для содержания улично-дорожной сети города Благовещенска</t>
  </si>
  <si>
    <t>02 2 01 9Д803</t>
  </si>
  <si>
    <t>Приобретение, установка и обслуживание биоакустической системы отпугивателей птиц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</si>
  <si>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</si>
  <si>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02 2 01 9Д802</t>
  </si>
  <si>
    <t>800</t>
  </si>
  <si>
    <t>Муниципальный проект «Формирование комфортной городской среды (город Благовещенск)»</t>
  </si>
  <si>
    <t>Реализация программ формирования современной городской среды</t>
  </si>
  <si>
    <t>11 1 00 00000</t>
  </si>
  <si>
    <t>11 1 И4 00000</t>
  </si>
  <si>
    <t>11 1 И4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</si>
  <si>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</si>
  <si>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11 1 И4 54240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</si>
  <si>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</si>
  <si>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</si>
  <si>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</si>
  <si>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</si>
  <si>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</si>
  <si>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</si>
  <si>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</si>
  <si>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</si>
  <si>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</si>
  <si>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</si>
  <si>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</si>
  <si>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</si>
  <si>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</si>
  <si>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</si>
  <si>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</si>
  <si>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</si>
  <si>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</si>
  <si>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города Благовещенска «Ремонт общественных бань на территории города Благовещенска»</t>
  </si>
  <si>
    <t>03 2 03 00000</t>
  </si>
  <si>
    <t>03 2 03 S9050</t>
  </si>
  <si>
    <t>03 3 01 9Т700</t>
  </si>
  <si>
    <t>300</t>
  </si>
  <si>
    <t>03 3 01 SТ600</t>
  </si>
  <si>
    <t>Муниципальный проект города Благовещенска «Развитие инициативного бюджетирования в городе Благовещенске»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</si>
  <si>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</si>
  <si>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</si>
  <si>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</si>
  <si>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05 2 02 00000</t>
  </si>
  <si>
    <t>05 2 02 10400</t>
  </si>
  <si>
    <t>05 2 02 10401</t>
  </si>
  <si>
    <t>05 2 02 10402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</si>
  <si>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</si>
  <si>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</si>
  <si>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</si>
  <si>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</si>
  <si>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Муниципальный проект «Региональная и местная дорожная сеть» (город Благовещенск)</t>
  </si>
  <si>
    <t>02 1 И8 00000</t>
  </si>
  <si>
    <t>02 1 И8 9Д11С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</si>
  <si>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</si>
  <si>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</si>
  <si>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Расходы, направленные на модернизацию коммунальной инфраструктуры (Ремонт водопровода ул. Мухина от ул. Пролетарская до ж/д переезда)</t>
  </si>
  <si>
    <t>03 2 01 S7405</t>
  </si>
  <si>
    <t>03 2 01 S7406</t>
  </si>
  <si>
    <t>03 2 01 S7407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</si>
  <si>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</si>
  <si>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г.Благовещенск)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</si>
  <si>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</si>
  <si>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</si>
  <si>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</si>
  <si>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</si>
  <si>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</si>
  <si>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г.Благовещенск)</t>
  </si>
  <si>
    <t>03 2 01 S7411</t>
  </si>
  <si>
    <t>03 2 01 S7412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</si>
  <si>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</si>
  <si>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</si>
  <si>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</si>
  <si>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</si>
  <si>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01 S7414</t>
  </si>
  <si>
    <t>03 2 01 S7415</t>
  </si>
  <si>
    <t>03 2 01 S7416</t>
  </si>
  <si>
    <t>03 2 01 S7417</t>
  </si>
  <si>
    <t>Создание школьного кафе в общеобразовательных организациях</t>
  </si>
  <si>
    <t>04 2 01 10920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</si>
  <si>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</si>
  <si>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</si>
  <si>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Муниципальный проект «Модернизация коммунальной инфраструктуры (город Благовещенск)»</t>
  </si>
  <si>
    <t>Реализация мероприятий по модернизации коммунальной инфраструктуры</t>
  </si>
  <si>
    <t>03 1 00 00000</t>
  </si>
  <si>
    <t>03 1 И3 00000</t>
  </si>
  <si>
    <t>03 1 И3 51540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</si>
  <si>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</si>
  <si>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</si>
  <si>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11 2 01 10782</t>
  </si>
  <si>
    <t>11 2 01 10783</t>
  </si>
  <si>
    <t>03 3 01 9Т200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</si>
  <si>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</si>
  <si>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</si>
  <si>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04 1 Ю6 51790</t>
  </si>
  <si>
    <t>04 1 Ю6 53030</t>
  </si>
  <si>
    <t>Муниципальный проект "Педагоги и наставники"</t>
  </si>
  <si>
    <t>04 1 Ю6 00000</t>
  </si>
  <si>
    <t>04 2 01 L3050</t>
  </si>
  <si>
    <t>04 3 01 R3040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</si>
  <si>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</si>
  <si>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</si>
  <si>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</si>
  <si>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04 3 01 89040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</si>
  <si>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</si>
  <si>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</si>
  <si>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</si>
  <si>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</si>
  <si>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</si>
  <si>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</si>
  <si>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Муниципальный проект "Все лучшее детям"</t>
  </si>
  <si>
    <t>04 1 Ю4 5750П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</si>
  <si>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</si>
  <si>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00000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</si>
  <si>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</si>
  <si>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</si>
  <si>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Муниципальный проект города Благовещенска "Развитие систем коммунальной инфраструктуры"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</si>
  <si>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</si>
  <si>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2025 год</t>
  </si>
  <si>
    <t>Субсидия на финансовое обеспечение затрат некоммерческим организациям по нанесению муралов на фасады зданий</t>
  </si>
  <si>
    <t>00 0 00 80181</t>
  </si>
  <si>
    <t xml:space="preserve">Мероприятия в области социальной политики </t>
  </si>
  <si>
    <t>Субсидия на финансовое обеспечение затрат некоммерческим организациям на возведение стелы, посвящённой Воинам героям - участникам СВО</t>
  </si>
  <si>
    <t>Субсидия на финансовое обеспечение уставной деятельности автономной некоммерческой организации «Агентство мониторинговых исследований города Благовещенска»</t>
  </si>
  <si>
    <t>00 0 00 80170</t>
  </si>
  <si>
    <t>00 0 00 80180</t>
  </si>
  <si>
    <t>Субсидия на финансовое обеспечение затрат некоммерческим организациям на организацию выставки художественных работ</t>
  </si>
  <si>
    <t>00 0 00 80182</t>
  </si>
  <si>
    <t>08 3 01 10601</t>
  </si>
  <si>
    <t>Водное хозяйство</t>
  </si>
  <si>
    <t>Технологическое присоединение к централизованной системе водоотведения и холодного водоснабжения общественного туалета входящего в состав объекта «Берегоукрепление и реконструкция набережной р. Амур»</t>
  </si>
  <si>
    <t>0406</t>
  </si>
  <si>
    <t>00 0 00 40922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</si>
  <si>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область»</t>
  </si>
  <si>
    <t>02 2 01 9Д006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</si>
  <si>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Лазо до ул. Пушкина)</t>
  </si>
  <si>
    <t>02 1 И8 9Д111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</si>
  <si>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</si>
  <si>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</si>
  <si>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</si>
  <si>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02 1 И8 9Д112</t>
  </si>
  <si>
    <t>02 1 И8 9Д113</t>
  </si>
  <si>
    <t>02 1 И8 9Д114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</si>
  <si>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</si>
  <si>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</si>
  <si>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Театральная до ул. Кузнечной)</t>
  </si>
  <si>
    <t>02 1 И8 9Д115</t>
  </si>
  <si>
    <t>02 1 И8 9Д116</t>
  </si>
  <si>
    <t>02 1 И8 9Д117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</si>
  <si>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Кузнечная до ул. Трудовой)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</si>
  <si>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Трудовая до ул. Шимановского)</t>
  </si>
  <si>
    <t>02 1 И8 9Д118</t>
  </si>
  <si>
    <t>02 1 И8 9Д119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</si>
  <si>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</si>
  <si>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</si>
  <si>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</si>
  <si>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Артиллерийская до ул. Больничная)</t>
  </si>
  <si>
    <t>02 1 И8 9Д11А</t>
  </si>
  <si>
    <t>02 1 И8 9Д11Б</t>
  </si>
  <si>
    <t>02 1 И8 9Д11В</t>
  </si>
  <si>
    <t>02 1 И8 9Д11Г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</si>
  <si>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</si>
  <si>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</si>
  <si>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Б.Хмельницкого)</t>
  </si>
  <si>
    <t>02 1 И8 9Д11Д</t>
  </si>
  <si>
    <t>02 1 И8 9Д11Е</t>
  </si>
  <si>
    <t>02 1 И8 9Д11Ж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</si>
  <si>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</si>
  <si>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</si>
  <si>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02 1 И8 9Д11И</t>
  </si>
  <si>
    <t>02 1 И8 9Д11К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</si>
  <si>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</si>
  <si>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02 1 И8 9Д11М</t>
  </si>
  <si>
    <t>Оказание финансовой поддержки субъектам малого и среднего
предпринимательства на возмещение части затрат на ремонт, реновацию и
реконструкцию номерного фонда средств размещения, а также приобретение
строительных материалов</t>
  </si>
  <si>
    <t>09 2 01 60060</t>
  </si>
  <si>
    <t>Обследование технического состояния конструкций жилищного фонда</t>
  </si>
  <si>
    <t>03 2 02 10221</t>
  </si>
  <si>
    <t>Устройство ливневой канализации многоквартирного жилого дома, расположенного по адресу: г.Благовещенск, ул.Ленина, 148</t>
  </si>
  <si>
    <t>03 2 02 10223</t>
  </si>
  <si>
    <t>Ремонт жилых помещений ветеранов Великой Отечественной войны</t>
  </si>
  <si>
    <t>03 2 02 80270</t>
  </si>
  <si>
    <t>Муниципальный проект «Жилье (город Благовещенск)»</t>
  </si>
  <si>
    <t>Прочие мероприятия, осуществляемые за счет межбюджетных трансфертов прошлых лет из областного бюджета</t>
  </si>
  <si>
    <t>01 1 00 00000</t>
  </si>
  <si>
    <t>01 1 И2 00000</t>
  </si>
  <si>
    <t>01 1 И2 S8980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</si>
  <si>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</si>
  <si>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03 2 01 97002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</si>
  <si>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 Благовещенск, Амурская область»)</t>
  </si>
  <si>
    <t>Расходы, направленные на модернизацию коммунальной инфраструктуры (Строительство объекта «Тепловая сеть от котельной 800 квартала (вдоль ул. 50 лет Октября от ул. Зеленая до ул. Шафира)")</t>
  </si>
  <si>
    <t>03 2 01 S7418</t>
  </si>
  <si>
    <t>03 2 01 S7419</t>
  </si>
  <si>
    <t>Расходы, направленные на модернизацию коммунальной инфраструктуры (Строительство тепловой сети в квартале 342 г. Благовещенска, Амурская область)</t>
  </si>
  <si>
    <t>Расходы, направленные на модернизацию коммунальной инфраструктуры (Выполнение проектных и изыскательских работ по объекту «Закольцовка водопроводной сети для подключения территории «Лазурный берег»)</t>
  </si>
  <si>
    <t>Расходы, направленные на модернизацию коммунальной инфраструктуры (Выполнение проектных и изыскательских работ по объекту «Реконструкция сетей водоотведения для подключения территории «Лазурный берег»)</t>
  </si>
  <si>
    <t>Расходы, направленные на модернизацию коммунальной инфраструктуры (Реконструкция ул. Краснофлотская от ул. Островского до ул. Театральная в г. Благовещенск, Амурская область (инженерные сети))</t>
  </si>
  <si>
    <t>03 2 01 S7420</t>
  </si>
  <si>
    <t>03 2 01 S7421</t>
  </si>
  <si>
    <t>03 2 01 S7422</t>
  </si>
  <si>
    <t>03 2 01 S7423</t>
  </si>
  <si>
    <t>Благоустройство территории военного госпиталя, расположенного по ул.Ленина, 172/4</t>
  </si>
  <si>
    <t xml:space="preserve">Перенос игрового комплекса с набережной р. Амур                  </t>
  </si>
  <si>
    <t>Установка игрового комплекса «Замок» на набережную р. Амур, берег 5 участок</t>
  </si>
  <si>
    <t>11 2 01 10784</t>
  </si>
  <si>
    <t>11 2 01 10785</t>
  </si>
  <si>
    <t>11 2 01 10786</t>
  </si>
  <si>
    <t>Приобретение оборудования для обустройства пляжей</t>
  </si>
  <si>
    <t>11 3 01 10820</t>
  </si>
  <si>
    <t>Проведение технического контроля при проведении работ по благоустройству дворовых территорий</t>
  </si>
  <si>
    <t>11 2 01 10771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</si>
  <si>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</si>
  <si>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11 3 01 10870</t>
  </si>
  <si>
    <t>11 1 И4 А4240</t>
  </si>
  <si>
    <t>11 2 01 97002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</si>
  <si>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</si>
  <si>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04 3 01 10602</t>
  </si>
  <si>
    <t>Приобретение спортивного оборудования для игры в пляжный волейбол</t>
  </si>
  <si>
    <t>06 2 05 10160</t>
  </si>
  <si>
    <t>06 2 05 00000</t>
  </si>
  <si>
    <t>Муниципальный проект города Благовещенска "Развитие физической культуры и массового спорта в городе Благовещенске""</t>
  </si>
  <si>
    <t>Закупка и монтаж оборудования для создания "умных" спортивных площадок</t>
  </si>
  <si>
    <t>06 2 05 L7530</t>
  </si>
  <si>
    <t>Предоставление социальной поддержки отдельным категориям граждан по обеспечению автономными пожарными извещателями и замене в них элементов питания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</si>
  <si>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</si>
  <si>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00 0 00 20030</t>
  </si>
  <si>
    <t>Создание и восполнение резерва материальных ресурсов для ликвидации чрезвычайных ситуаций на территории городского округа города Благовещенска</t>
  </si>
  <si>
    <t>Муниципальный проект города Благовещенска "Развитие инфраструктуры сферы культуры в городе Благовещенске"</t>
  </si>
  <si>
    <t>Проектные и изыскательские работы по объекту капитального строительства: "Городской дом культуры на 400 мест в квартале 97, г. Благовещенск, Амурская область"</t>
  </si>
  <si>
    <t>05 2 03 00000</t>
  </si>
  <si>
    <t>Реализация мероприятий по благоустройству территории и созданию спортивной зоны (Муниципальное автономное учреждение «Лицей № 6 города Благовещенска» Амурской области, Ресурсный центр, ул.Зейская, 297)</t>
  </si>
  <si>
    <t>04 2 01 10595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</si>
  <si>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</si>
  <si>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02 2 01 SД140</t>
  </si>
  <si>
    <t>02 2 01 9Д008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</si>
  <si>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(Содержание дорог)</t>
  </si>
  <si>
    <t>02 2 01 SД144</t>
  </si>
  <si>
    <t>Восстановление асфальтового покрытия дворовой территории многоквартирного дома по адресу: г. Благовещенск, Игнатьевское шоссе, д. 12/4</t>
  </si>
  <si>
    <t>11 2 01 9Д201</t>
  </si>
  <si>
    <t>Осуществление дорожной деятельности в рамках реализации национального проекта "Инфраструктура для жизни" (Реконструкция ул. Краснофлотская от ул. Островского до ул. Театральная в г. Благовещенск, Амурская область)</t>
  </si>
  <si>
    <t>02 1 И8 9Д11Н</t>
  </si>
  <si>
    <t>Обустройство сквера в районе ул. Калинина-ул.Ломоносова (устройство электроснабжения и видеонаблюдения)</t>
  </si>
  <si>
    <t>11 2 01 10787</t>
  </si>
  <si>
    <t>Проведение общегородского конкурса «Фестиваль цветов «Город в цвете»</t>
  </si>
  <si>
    <t>11 3 01 10830</t>
  </si>
  <si>
    <t>Расходы, направленные на модернизацию коммунальной инфраструктуры (Ремонт тепловой сети по ул. Краснофлотская от ТК-45 до ТК-46)</t>
  </si>
  <si>
    <t>03 2 01 S7427</t>
  </si>
  <si>
    <t>Обустройство кладбища в районе с. Белогорье (устройство водопропускной трубы в районе проезда)</t>
  </si>
  <si>
    <t>11 2 01 10861</t>
  </si>
  <si>
    <t>Устройство накопителей жидких бытовых отходов в неблагоустроенном жилищном
фонде</t>
  </si>
  <si>
    <t>03 2 02 10224</t>
  </si>
  <si>
    <t>Расходы, направленные на модернизацию коммунальной инфраструктуры (Выполнение работ по замене конвективной части котла ДКВР-10/13 в котельной, расположенной по адресу: г. Благовещенск, ул. Пограничная, д. 183)</t>
  </si>
  <si>
    <t>Расходы, направленные на модернизацию коммунальной инфраструктуры (Замена водоподогревателей в здании муниципальной котельной 74 квартала)</t>
  </si>
  <si>
    <t>03 2 01 S7424</t>
  </si>
  <si>
    <t>03 2 01 S7425</t>
  </si>
  <si>
    <t>Расходы, направленные на модернизацию коммунальной инфраструктуры (Ремонт котла ДКВР-10/13 № 3 в котельной 101 квартала г. Благовещенск)</t>
  </si>
  <si>
    <t>03 2 01 S7426</t>
  </si>
  <si>
    <t>Перенос шкафа управления освещением МКД по ул. Горького,147</t>
  </si>
  <si>
    <t>11 3 01 10910</t>
  </si>
  <si>
    <t>Внесение в ЕГРН сведений о границах городского округа, населенных пунктах в его составе</t>
  </si>
  <si>
    <t>10 2 01 10260</t>
  </si>
  <si>
    <t>10 2 01 S0440</t>
  </si>
  <si>
    <t>Устройство парковки по ул. Дьяченко вдоль Храма Ксении Петербургской</t>
  </si>
  <si>
    <t>02 2 01 9Д007</t>
  </si>
  <si>
    <t>Разработка проектной документации для объектов сферы культуры</t>
  </si>
  <si>
    <t>05 2 03 40110</t>
  </si>
  <si>
    <t>05 2 03 40111</t>
  </si>
  <si>
    <t>Устройство наружного освещения                        с. Белогорье по ул. Заводская на участке (от Родника до ул. Заводская д. 7 (автобусная остановка)</t>
  </si>
  <si>
    <t>(в ред. от  26.06.2025  № 14/69)</t>
  </si>
  <si>
    <t>Приложение № 3
к решению Благовещенской 
городской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</si>
</sst>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\ _₽_-;\-* #,##0.0\ _₽_-;_-* &quot;-&quot;?\ _₽_-;_-@_-"/>
    <numFmt numFmtId="166" formatCode="?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trike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73"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top"/>
    </xf>
    <xf numFmtId="164" fontId="5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164" fontId="7" fillId="0" borderId="0" xfId="1" applyNumberFormat="1" applyFont="1" applyAlignment="1">
      <alignment horizontal="center" vertical="top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1" fontId="7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164" fontId="7" fillId="0" borderId="0" xfId="0" applyNumberFormat="1" applyFont="1" applyAlignment="1">
      <alignment horizontal="center" vertical="top"/>
    </xf>
    <xf numFmtId="1" fontId="5" fillId="0" borderId="0" xfId="1" applyNumberFormat="1" applyFont="1" applyAlignment="1">
      <alignment vertical="top" wrapText="1"/>
    </xf>
    <xf numFmtId="49" fontId="5" fillId="0" borderId="0" xfId="1" applyNumberFormat="1" applyFont="1" applyAlignment="1">
      <alignment horizontal="center" vertical="top"/>
    </xf>
    <xf numFmtId="164" fontId="5" fillId="0" borderId="0" xfId="1" applyNumberFormat="1" applyFont="1" applyAlignment="1">
      <alignment horizontal="center" vertical="top"/>
    </xf>
    <xf numFmtId="1" fontId="5" fillId="0" borderId="0" xfId="1" applyNumberFormat="1" applyFont="1" applyAlignment="1">
      <alignment horizontal="left" vertical="top" wrapText="1"/>
    </xf>
    <xf numFmtId="164" fontId="5" fillId="0" borderId="0" xfId="2" applyNumberFormat="1" applyFont="1" applyAlignment="1">
      <alignment horizontal="center" vertical="top"/>
    </xf>
    <xf numFmtId="0" fontId="5" fillId="0" borderId="0" xfId="1" applyFont="1" applyAlignment="1">
      <alignment vertical="top" wrapText="1"/>
    </xf>
    <xf numFmtId="49" fontId="5" fillId="0" borderId="0" xfId="4" applyNumberFormat="1" applyFont="1" applyAlignment="1">
      <alignment horizontal="center" vertical="top"/>
    </xf>
    <xf numFmtId="0" fontId="5" fillId="0" borderId="0" xfId="4" applyFont="1" applyAlignment="1">
      <alignment horizontal="center" vertical="top"/>
    </xf>
    <xf numFmtId="1" fontId="5" fillId="0" borderId="0" xfId="5" applyNumberFormat="1" applyFont="1" applyAlignment="1">
      <alignment horizontal="left" vertical="top" wrapText="1"/>
    </xf>
    <xf numFmtId="49" fontId="5" fillId="0" borderId="0" xfId="5" applyNumberFormat="1" applyFont="1" applyAlignment="1">
      <alignment horizontal="center" vertical="top"/>
    </xf>
    <xf numFmtId="0" fontId="5" fillId="0" borderId="0" xfId="2" applyFont="1" applyAlignment="1">
      <alignment horizontal="center" vertical="top"/>
    </xf>
    <xf numFmtId="0" fontId="5" fillId="0" borderId="0" xfId="5" applyFont="1" applyAlignment="1">
      <alignment horizontal="left" vertical="top" wrapText="1"/>
    </xf>
    <xf numFmtId="1" fontId="5" fillId="0" borderId="0" xfId="4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/>
    </xf>
    <xf numFmtId="164" fontId="7" fillId="0" borderId="0" xfId="1" applyNumberFormat="1" applyFont="1" applyAlignment="1">
      <alignment horizontal="center" vertical="top"/>
    </xf>
    <xf numFmtId="0" fontId="5" fillId="0" borderId="0" xfId="0" applyFont="1" applyAlignment="1">
      <alignment vertical="top" wrapText="1"/>
    </xf>
    <xf numFmtId="1" fontId="5" fillId="0" borderId="0" xfId="4" applyNumberFormat="1" applyFont="1" applyAlignment="1">
      <alignment vertical="top" wrapText="1"/>
    </xf>
    <xf numFmtId="1" fontId="7" fillId="0" borderId="0" xfId="4" applyNumberFormat="1" applyFont="1" applyAlignment="1">
      <alignment vertical="top" wrapText="1"/>
    </xf>
    <xf numFmtId="49" fontId="7" fillId="0" borderId="0" xfId="4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5" fillId="0" borderId="0" xfId="4" applyFont="1" applyAlignment="1">
      <alignment vertical="top" wrapText="1"/>
    </xf>
    <xf numFmtId="49" fontId="5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 wrapText="1"/>
    </xf>
    <xf numFmtId="1" fontId="5" fillId="0" borderId="0" xfId="1" applyNumberFormat="1" applyFont="1" applyAlignment="1">
      <alignment horizontal="center" vertical="top" wrapText="1"/>
    </xf>
    <xf numFmtId="0" fontId="5" fillId="0" borderId="0" xfId="4" applyFont="1" applyAlignment="1">
      <alignment horizontal="left" vertical="top" wrapText="1"/>
    </xf>
    <xf numFmtId="49" fontId="5" fillId="0" borderId="0" xfId="0" applyNumberFormat="1" applyFont="1"/>
    <xf numFmtId="0" fontId="5" fillId="0" borderId="0" xfId="3" applyFont="1" applyAlignment="1">
      <alignment horizontal="left" vertical="top" wrapText="1"/>
    </xf>
    <xf numFmtId="0" fontId="7" fillId="0" borderId="0" xfId="4" applyFont="1" applyAlignment="1">
      <alignment horizontal="center" vertical="top"/>
    </xf>
    <xf numFmtId="0" fontId="5" fillId="0" borderId="0" xfId="2" applyFont="1" applyAlignment="1">
      <alignment vertical="top" wrapText="1"/>
    </xf>
    <xf numFmtId="166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1" fontId="5" fillId="0" borderId="0" xfId="0" applyNumberFormat="1" applyFont="1" applyAlignment="1">
      <alignment horizontal="left" vertical="top" wrapText="1"/>
    </xf>
    <xf numFmtId="1" fontId="5" fillId="0" borderId="0" xfId="6" applyNumberFormat="1" applyFont="1" applyAlignment="1">
      <alignment horizontal="left" vertical="top" wrapText="1"/>
    </xf>
    <xf numFmtId="0" fontId="5" fillId="0" borderId="0" xfId="6" applyFont="1" applyAlignment="1">
      <alignment horizontal="center" vertical="top"/>
    </xf>
    <xf numFmtId="49" fontId="5" fillId="0" borderId="0" xfId="6" applyNumberFormat="1" applyFont="1" applyAlignment="1">
      <alignment horizontal="center" vertical="top"/>
    </xf>
    <xf numFmtId="164" fontId="6" fillId="0" borderId="0" xfId="0" applyNumberFormat="1" applyFont="1" applyAlignment="1">
      <alignment horizontal="left" vertical="top"/>
    </xf>
    <xf numFmtId="0" fontId="9" fillId="0" borderId="0" xfId="4" applyFont="1" applyAlignment="1">
      <alignment horizontal="center" vertical="top"/>
    </xf>
    <xf numFmtId="164" fontId="5" fillId="0" borderId="0" xfId="4" applyNumberFormat="1" applyFont="1" applyAlignment="1">
      <alignment horizontal="center" vertical="top"/>
    </xf>
    <xf numFmtId="49" fontId="5" fillId="0" borderId="0" xfId="1" applyNumberFormat="1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/>
    </xf>
    <xf numFmtId="165" fontId="7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1" fontId="7" fillId="0" borderId="0" xfId="1" applyNumberFormat="1" applyFont="1" applyAlignment="1">
      <alignment vertical="top" wrapText="1"/>
    </xf>
    <xf numFmtId="0" fontId="10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7" fillId="0" borderId="0" xfId="4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164" fontId="5" fillId="0" borderId="0" xfId="0" applyNumberFormat="1" applyFont="1" applyAlignment="1">
      <alignment horizontal="left" vertical="top" wrapText="1"/>
    </xf>
    <xf numFmtId="1" fontId="5" fillId="0" borderId="1" xfId="1" applyNumberFormat="1" applyFont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5" fillId="0" borderId="5" xfId="0" applyNumberFormat="1" applyFont="1" applyBorder="1" applyAlignment="1">
      <alignment horizontal="center" vertical="top"/>
    </xf>
    <xf numFmtId="49" fontId="5" fillId="0" borderId="2" xfId="1" applyNumberFormat="1" applyFont="1" applyBorder="1" applyAlignment="1">
      <alignment horizontal="center" vertical="top" wrapText="1"/>
    </xf>
    <xf numFmtId="49" fontId="5" fillId="0" borderId="3" xfId="1" applyNumberFormat="1" applyFont="1" applyBorder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</cellXfs>
  <cellStyles count="7">
    <cellStyle name="Обычный" xfId="0" builtinId="0"/>
    <cellStyle name="Обычный 2" xfId="6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9" Type="http://schemas.openxmlformats.org/officeDocument/2006/relationships/revisionLog" Target="revisionLog39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42" Type="http://schemas.openxmlformats.org/officeDocument/2006/relationships/revisionLog" Target="revisionLog42.xml"/><Relationship Id="rId47" Type="http://schemas.openxmlformats.org/officeDocument/2006/relationships/revisionLog" Target="revisionLog47.xml"/><Relationship Id="rId50" Type="http://schemas.openxmlformats.org/officeDocument/2006/relationships/revisionLog" Target="revisionLog50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9" Type="http://schemas.openxmlformats.org/officeDocument/2006/relationships/revisionLog" Target="revisionLog29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40" Type="http://schemas.openxmlformats.org/officeDocument/2006/relationships/revisionLog" Target="revisionLog40.xml"/><Relationship Id="rId45" Type="http://schemas.openxmlformats.org/officeDocument/2006/relationships/revisionLog" Target="revisionLog45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49" Type="http://schemas.openxmlformats.org/officeDocument/2006/relationships/revisionLog" Target="revisionLog49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4" Type="http://schemas.openxmlformats.org/officeDocument/2006/relationships/revisionLog" Target="revisionLog44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Relationship Id="rId43" Type="http://schemas.openxmlformats.org/officeDocument/2006/relationships/revisionLog" Target="revisionLog43.xml"/><Relationship Id="rId48" Type="http://schemas.openxmlformats.org/officeDocument/2006/relationships/revisionLog" Target="revisionLog48.xml"/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46" Type="http://schemas.openxmlformats.org/officeDocument/2006/relationships/revisionLog" Target="revisionLog46.xml"/><Relationship Id="rId20" Type="http://schemas.openxmlformats.org/officeDocument/2006/relationships/revisionLog" Target="revisionLog20.xml"/><Relationship Id="rId41" Type="http://schemas.openxmlformats.org/officeDocument/2006/relationships/revisionLog" Target="revisionLog41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F6EFD7E-EA53-4812-8D9D-BBFEE8B755AF}" diskRevisions="1" revisionId="632" version="10">
  <header guid="{9B52D252-8064-4C44-9A19-7770118B9E8A}" dateTime="2025-06-03T16:47:17" maxSheetId="2" userName="Захаревич Елена" r:id="rId1">
    <sheetIdMap count="1">
      <sheetId val="1"/>
    </sheetIdMap>
  </header>
  <header guid="{6A684796-B66F-44A0-9E2F-93BCE57BD9BC}" dateTime="2025-06-03T16:58:34" maxSheetId="2" userName="Захаревич Елена" r:id="rId2" minRId="1" maxRId="2">
    <sheetIdMap count="1">
      <sheetId val="1"/>
    </sheetIdMap>
  </header>
  <header guid="{104BEEA6-6AD7-4223-B4BB-9441E4B10C30}" dateTime="2025-06-03T17:02:23" maxSheetId="2" userName="Ярина Анна" r:id="rId3" minRId="5" maxRId="12">
    <sheetIdMap count="1">
      <sheetId val="1"/>
    </sheetIdMap>
  </header>
  <header guid="{A4368788-04E6-49ED-8B95-549E2E9C53B7}" dateTime="2025-06-03T17:08:13" maxSheetId="2" userName="Захаревич Елена" r:id="rId4" minRId="15" maxRId="19">
    <sheetIdMap count="1">
      <sheetId val="1"/>
    </sheetIdMap>
  </header>
  <header guid="{1CFD87DF-B981-48D6-9B36-1067B5496427}" dateTime="2025-06-03T17:09:21" maxSheetId="2" userName="Ярина Анна" r:id="rId5" minRId="20">
    <sheetIdMap count="1">
      <sheetId val="1"/>
    </sheetIdMap>
  </header>
  <header guid="{0017F389-6845-4441-B11A-3FC29F2D4CFA}" dateTime="2025-06-03T17:12:49" maxSheetId="2" userName="Захаревич Елена" r:id="rId6" minRId="21" maxRId="24">
    <sheetIdMap count="1">
      <sheetId val="1"/>
    </sheetIdMap>
  </header>
  <header guid="{29F052FA-BF9F-45A7-A88D-2E8C59716B8A}" dateTime="2025-06-03T17:14:46" maxSheetId="2" userName="Захаревич Елена" r:id="rId7" minRId="25">
    <sheetIdMap count="1">
      <sheetId val="1"/>
    </sheetIdMap>
  </header>
  <header guid="{CE98E401-2EA1-4178-8FA7-2233CB59BCD2}" dateTime="2025-06-03T17:19:11" maxSheetId="2" userName="Захаревич Елена" r:id="rId8" minRId="26" maxRId="48">
    <sheetIdMap count="1">
      <sheetId val="1"/>
    </sheetIdMap>
  </header>
  <header guid="{D7098590-5F15-4934-BDD8-CE3463A187E3}" dateTime="2025-06-03T17:20:10" maxSheetId="2" userName="Захаревич Елена" r:id="rId9" minRId="49" maxRId="52">
    <sheetIdMap count="1">
      <sheetId val="1"/>
    </sheetIdMap>
  </header>
  <header guid="{B6C26538-E9A9-4694-A357-D29805221177}" dateTime="2025-06-03T17:24:03" maxSheetId="2" userName="Захаревич Елена" r:id="rId10" minRId="53" maxRId="56">
    <sheetIdMap count="1">
      <sheetId val="1"/>
    </sheetIdMap>
  </header>
  <header guid="{F37877A8-D827-4407-BB73-581133F2AA59}" dateTime="2025-06-03T17:32:12" maxSheetId="2" userName="Захаревич Елена" r:id="rId11" minRId="59" maxRId="70">
    <sheetIdMap count="1">
      <sheetId val="1"/>
    </sheetIdMap>
  </header>
  <header guid="{E8DF38A0-5B12-4101-980D-41714BAECFEF}" dateTime="2025-06-03T17:34:28" maxSheetId="2" userName="Захаревич Елена" r:id="rId12" minRId="71" maxRId="73">
    <sheetIdMap count="1">
      <sheetId val="1"/>
    </sheetIdMap>
  </header>
  <header guid="{AB72A059-1628-4607-82D2-AAD7BD1749CC}" dateTime="2025-06-03T17:36:31" maxSheetId="2" userName="Захаревич Елена" r:id="rId13" minRId="74" maxRId="75">
    <sheetIdMap count="1">
      <sheetId val="1"/>
    </sheetIdMap>
  </header>
  <header guid="{3B202836-0CB4-4E7E-81F1-1DEA9BC6FB2C}" dateTime="2025-06-03T17:39:22" maxSheetId="2" userName="Захаревич Елена" r:id="rId14" minRId="76" maxRId="78">
    <sheetIdMap count="1">
      <sheetId val="1"/>
    </sheetIdMap>
  </header>
  <header guid="{34A06AB2-F07D-4C41-AA3F-9CDBE5839258}" dateTime="2025-06-03T17:40:59" maxSheetId="2" userName="Захаревич Елена" r:id="rId15" minRId="79">
    <sheetIdMap count="1">
      <sheetId val="1"/>
    </sheetIdMap>
  </header>
  <header guid="{C67E7785-C151-4792-9110-149C3AC0E730}" dateTime="2025-06-03T17:45:28" maxSheetId="2" userName="Захаревич Елена" r:id="rId16" minRId="80" maxRId="113">
    <sheetIdMap count="1">
      <sheetId val="1"/>
    </sheetIdMap>
  </header>
  <header guid="{DE481B92-587C-4A7A-A11F-C0272984C073}" dateTime="2025-06-03T17:48:47" maxSheetId="2" userName="Захаревич Елена" r:id="rId17" minRId="114" maxRId="116">
    <sheetIdMap count="1">
      <sheetId val="1"/>
    </sheetIdMap>
  </header>
  <header guid="{EC3016C4-CA73-4633-8838-417A14230CDC}" dateTime="2025-06-03T17:51:01" maxSheetId="2" userName="Захаревич Елена" r:id="rId18" minRId="117" maxRId="119">
    <sheetIdMap count="1">
      <sheetId val="1"/>
    </sheetIdMap>
  </header>
  <header guid="{710E1D70-CBA3-477A-99E4-EE17AB472F3C}" dateTime="2025-06-03T17:55:28" maxSheetId="2" userName="Ярина Анна" r:id="rId19" minRId="120" maxRId="228">
    <sheetIdMap count="1">
      <sheetId val="1"/>
    </sheetIdMap>
  </header>
  <header guid="{DE9297A6-D1D1-4556-9CFE-6EB1B7C348B4}" dateTime="2025-06-03T17:58:27" maxSheetId="2" userName="Захаревич Елена" r:id="rId20" minRId="231" maxRId="235">
    <sheetIdMap count="1">
      <sheetId val="1"/>
    </sheetIdMap>
  </header>
  <header guid="{59ADCBF6-7B9B-4E28-837F-F74DE7E3500D}" dateTime="2025-06-03T18:00:15" maxSheetId="2" userName="Захаревич Елена" r:id="rId21" minRId="236">
    <sheetIdMap count="1">
      <sheetId val="1"/>
    </sheetIdMap>
  </header>
  <header guid="{4355A981-137A-408F-A892-6F8E309678D6}" dateTime="2025-06-03T18:03:50" maxSheetId="2" userName="Захаревич Елена" r:id="rId22" minRId="237" maxRId="240">
    <sheetIdMap count="1">
      <sheetId val="1"/>
    </sheetIdMap>
  </header>
  <header guid="{0ED33BD9-1073-4C19-BF5B-E38649188E48}" dateTime="2025-06-03T18:05:43" maxSheetId="2" userName="Захаревич Елена" r:id="rId23" minRId="241">
    <sheetIdMap count="1">
      <sheetId val="1"/>
    </sheetIdMap>
  </header>
  <header guid="{954C5FAD-324D-4878-980F-CFF958ACBD87}" dateTime="2025-06-03T18:23:58" maxSheetId="2" userName="Наталья Геращенко" r:id="rId24" minRId="242" maxRId="261">
    <sheetIdMap count="1">
      <sheetId val="1"/>
    </sheetIdMap>
  </header>
  <header guid="{616B86D7-B4D9-4C58-B7F8-07441D61E33E}" dateTime="2025-06-03T18:27:47" maxSheetId="2" userName="Наталья Геращенко" r:id="rId25" minRId="264" maxRId="283">
    <sheetIdMap count="1">
      <sheetId val="1"/>
    </sheetIdMap>
  </header>
  <header guid="{CA8F1AE4-ED17-4AF3-84BD-CD60361D403C}" dateTime="2025-06-03T18:33:59" maxSheetId="2" userName="Наталья Геращенко" r:id="rId26" minRId="284" maxRId="320">
    <sheetIdMap count="1">
      <sheetId val="1"/>
    </sheetIdMap>
  </header>
  <header guid="{408FA49E-8202-486F-9C8D-DDAA56E83246}" dateTime="2025-06-03T18:38:46" maxSheetId="2" userName="Наталья Геращенко" r:id="rId27" minRId="321" maxRId="381">
    <sheetIdMap count="1">
      <sheetId val="1"/>
    </sheetIdMap>
  </header>
  <header guid="{D91DE75B-0874-4422-85E5-950FE9461512}" dateTime="2025-06-03T18:41:13" maxSheetId="2" userName="Наталья Геращенко" r:id="rId28" minRId="382" maxRId="398">
    <sheetIdMap count="1">
      <sheetId val="1"/>
    </sheetIdMap>
  </header>
  <header guid="{DE85BFD7-099B-4D66-8964-2F2619DA72B2}" dateTime="2025-06-03T18:43:59" maxSheetId="2" userName="Наталья Геращенко" r:id="rId29" minRId="399" maxRId="401">
    <sheetIdMap count="1">
      <sheetId val="1"/>
    </sheetIdMap>
  </header>
  <header guid="{58D5D9B3-CB52-4A93-9965-640DF14629C6}" dateTime="2025-06-03T19:00:22" maxSheetId="2" userName="Наталья Геращенко" r:id="rId30" minRId="405" maxRId="410">
    <sheetIdMap count="1">
      <sheetId val="1"/>
    </sheetIdMap>
  </header>
  <header guid="{977DFD49-ADF9-4F53-A4B5-E2A9EDA12508}" dateTime="2025-06-03T19:06:33" maxSheetId="2" userName="Наталья Геращенко" r:id="rId31" minRId="414" maxRId="443">
    <sheetIdMap count="1">
      <sheetId val="1"/>
    </sheetIdMap>
  </header>
  <header guid="{63D9BE1E-F337-4282-BB2D-EC04482BFDD3}" dateTime="2025-06-04T09:04:42" maxSheetId="2" userName="Захаревич Елена" r:id="rId32" minRId="447">
    <sheetIdMap count="1">
      <sheetId val="1"/>
    </sheetIdMap>
  </header>
  <header guid="{ABD2D5F9-6A94-4279-BB91-DD41ABB5DC3A}" dateTime="2025-06-04T09:10:14" maxSheetId="2" userName="Захаревич Елена" r:id="rId33" minRId="450" maxRId="451">
    <sheetIdMap count="1">
      <sheetId val="1"/>
    </sheetIdMap>
  </header>
  <header guid="{FBEF7F10-3D19-4651-878E-70A6B4379FAC}" dateTime="2025-06-04T09:22:05" maxSheetId="2" userName="Захаревич Елена" r:id="rId34" minRId="452" maxRId="459">
    <sheetIdMap count="1">
      <sheetId val="1"/>
    </sheetIdMap>
  </header>
  <header guid="{297CC0B9-7FA4-462D-9736-E971E56599B1}" dateTime="2025-06-04T09:25:54" maxSheetId="2" userName="Захаревич Елена" r:id="rId35">
    <sheetIdMap count="1">
      <sheetId val="1"/>
    </sheetIdMap>
  </header>
  <header guid="{3911D9AA-6920-454B-A4C5-71B5B61465DF}" dateTime="2025-06-04T09:44:00" maxSheetId="2" userName="Ярина Анна" r:id="rId36" minRId="466" maxRId="512">
    <sheetIdMap count="1">
      <sheetId val="1"/>
    </sheetIdMap>
  </header>
  <header guid="{ACB9C5B8-0572-4E3B-B4D9-31B565F5C8BF}" dateTime="2025-06-04T09:49:23" maxSheetId="2" userName="Наталья Геращенко" r:id="rId37" minRId="513" maxRId="517">
    <sheetIdMap count="1">
      <sheetId val="1"/>
    </sheetIdMap>
  </header>
  <header guid="{2AB455D1-D50A-4059-ADCD-78BE9F14058A}" dateTime="2025-06-04T09:53:32" maxSheetId="2" userName="Наталья Геращенко" r:id="rId38" minRId="521" maxRId="548">
    <sheetIdMap count="1">
      <sheetId val="1"/>
    </sheetIdMap>
  </header>
  <header guid="{5D1952B3-161F-4E1A-8DAB-5673CDCDBC9E}" dateTime="2025-06-04T14:33:44" maxSheetId="2" userName="Власова Татьяна" r:id="rId39" minRId="551" maxRId="559">
    <sheetIdMap count="1">
      <sheetId val="1"/>
    </sheetIdMap>
  </header>
  <header guid="{74BB1D64-3C5A-4711-9290-C76379188EE7}" dateTime="2025-06-05T16:34:57" maxSheetId="2" userName="Наталья Геращенко" r:id="rId40" minRId="562">
    <sheetIdMap count="1">
      <sheetId val="1"/>
    </sheetIdMap>
  </header>
  <header guid="{3319C4DD-5339-4A54-89AB-6138149C5E96}" dateTime="2025-06-09T09:42:53" maxSheetId="2" userName="Наталья Геращенко" r:id="rId41">
    <sheetIdMap count="1">
      <sheetId val="1"/>
    </sheetIdMap>
  </header>
  <header guid="{DBE7AB7B-D1F6-454B-8207-584DCAB9910C}" dateTime="2025-06-16T09:25:53" maxSheetId="2" userName="Наталья Геращенко" r:id="rId42" minRId="569" maxRId="578">
    <sheetIdMap count="1">
      <sheetId val="1"/>
    </sheetIdMap>
  </header>
  <header guid="{CA86FE99-2714-49E2-8702-A01D2CFEFD37}" dateTime="2025-06-16T09:28:19" maxSheetId="2" userName="Наталья Геращенко" r:id="rId43" minRId="581" maxRId="592">
    <sheetIdMap count="1">
      <sheetId val="1"/>
    </sheetIdMap>
  </header>
  <header guid="{E1BE6D21-90E7-4250-826C-F8F0CB6D4F37}" dateTime="2025-06-16T09:30:02" maxSheetId="2" userName="Наталья Геращенко" r:id="rId44" minRId="595" maxRId="606">
    <sheetIdMap count="1">
      <sheetId val="1"/>
    </sheetIdMap>
  </header>
  <header guid="{28FF762A-523E-4A18-9DF7-E89314C8F831}" dateTime="2025-06-16T09:30:12" maxSheetId="2" userName="Наталья Геращенко" r:id="rId45">
    <sheetIdMap count="1">
      <sheetId val="1"/>
    </sheetIdMap>
  </header>
  <header guid="{53E3FF81-1CAC-49AB-9673-E4601754816F}" dateTime="2025-06-16T14:28:21" maxSheetId="2" userName="Наталья Геращенко" r:id="rId46" minRId="609">
    <sheetIdMap count="1">
      <sheetId val="1"/>
    </sheetIdMap>
  </header>
  <header guid="{17803BA8-3900-4966-923D-89302834EA05}" dateTime="2025-06-20T12:55:10" maxSheetId="2" userName="Наталья Геращенко" r:id="rId47">
    <sheetIdMap count="1">
      <sheetId val="1"/>
    </sheetIdMap>
  </header>
  <header guid="{06EF9E05-9BFD-4E48-975F-FF07D8285AA1}" dateTime="2025-06-25T16:02:43" maxSheetId="2" userName="Наталья Геращенко" r:id="rId48" minRId="616">
    <sheetIdMap count="1">
      <sheetId val="1"/>
    </sheetIdMap>
  </header>
  <header guid="{CF24F26C-F7E5-4A0E-B6FC-313349F752FA}" dateTime="2025-06-26T11:47:17" maxSheetId="2" userName="Наталья Геращенко" r:id="rId49" minRId="620" maxRId="622">
    <sheetIdMap count="1">
      <sheetId val="1"/>
    </sheetIdMap>
  </header>
  <header guid="{7F6EFD7E-EA53-4812-8D9D-BBFEE8B755AF}" dateTime="2025-06-27T11:59:37" maxSheetId="2" userName="Наталья Геращенко" r:id="rId50" minRId="626" maxRId="62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" sId="1">
    <oc r="E674">
      <f>106170+121093.6+74467.9+15250+4625.6-491.8+18992.2+24073.6+312.3+500-9130.2+14498.7</f>
    </oc>
    <nc r="E674">
      <f>106170+121093.6+74467.9+15250+4625.6-491.8+18992.2+24073.6+312.3+500-9130.2+14498.7+568.2</f>
    </nc>
  </rcc>
  <rcc rId="54" sId="1">
    <oc r="F674">
      <f>312946.9-476.2</f>
    </oc>
    <nc r="F674">
      <f>312946.9-476.2-20348.8</f>
    </nc>
  </rcc>
  <rcc rId="55" sId="1">
    <oc r="F656">
      <f>F671+F657</f>
    </oc>
    <nc r="F656">
      <f>F671+F657+F661</f>
    </nc>
  </rcc>
  <rcc rId="56" sId="1">
    <oc r="G656">
      <f>G671+G657</f>
    </oc>
    <nc r="G656">
      <f>G671+G657+G661</f>
    </nc>
  </rcc>
  <rcv guid="{1CA6CCC9-64EF-4CA9-9C9C-1E572976D134}" action="delete"/>
  <rdn rId="0" localSheetId="1" customView="1" name="Z_1CA6CCC9_64EF_4CA9_9C9C_1E572976D134_.wvu.PrintTitles" hidden="1" oldHidden="1">
    <formula>рпр!$9:$10</formula>
    <oldFormula>рпр!$9:$10</oldFormula>
  </rdn>
  <rdn rId="0" localSheetId="1" customView="1" name="Z_1CA6CCC9_64EF_4CA9_9C9C_1E572976D134_.wvu.FilterData" hidden="1" oldHidden="1">
    <formula>рпр!$A$8:$G$807</formula>
    <oldFormula>рпр!$A$8:$G$807</oldFormula>
  </rdn>
  <rcv guid="{1CA6CCC9-64EF-4CA9-9C9C-1E572976D134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" sId="1">
    <oc r="E614">
      <f>10000+2700</f>
    </oc>
    <nc r="E614">
      <f>10000+2700+642</f>
    </nc>
  </rcc>
  <rcc rId="60" sId="1">
    <oc r="E617">
      <f>462.4</f>
    </oc>
    <nc r="E617">
      <f>462.4-269.7</f>
    </nc>
  </rcc>
  <rrc rId="61" sId="1" ref="A627:XFD627" action="insertRow"/>
  <rcc rId="62" sId="1" odxf="1" dxf="1">
    <nc r="A627" t="inlineStr">
      <is>
  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>
      <font>
        <sz val="12"/>
        <color auto="1"/>
        <name val="Times New Roman"/>
        <family val="1"/>
        <scheme val="none"/>
      </font>
      <numFmt numFmtId="0" formatCode="General"/>
      <alignment horizontal="general"/>
    </odxf>
    <ndxf>
      <font>
        <sz val="12"/>
        <color auto="1"/>
        <name val="Times New Roman"/>
        <family val="1"/>
        <scheme val="none"/>
      </font>
      <numFmt numFmtId="1" formatCode="0"/>
      <alignment horizontal="left"/>
    </ndxf>
  </rcc>
  <rcc rId="63" sId="1">
    <nc r="B627" t="inlineStr">
      <is>
        <t>0709</t>
      </is>
    </nc>
  </rcc>
  <rcc rId="64" sId="1">
    <nc r="C627" t="inlineStr">
      <is>
        <t>04 3 02 87700</t>
      </is>
    </nc>
  </rcc>
  <rcc rId="65" sId="1">
    <nc r="D627">
      <v>100</v>
    </nc>
  </rcc>
  <rcc rId="66" sId="1">
    <oc r="E626">
      <f>E628</f>
    </oc>
    <nc r="E626">
      <f>E628+E627</f>
    </nc>
  </rcc>
  <rcc rId="67" sId="1">
    <oc r="F626">
      <f>F628</f>
    </oc>
    <nc r="F626">
      <f>F628+F627</f>
    </nc>
  </rcc>
  <rcc rId="68" sId="1">
    <oc r="G626">
      <f>G628</f>
    </oc>
    <nc r="G626">
      <f>G628+G627</f>
    </nc>
  </rcc>
  <rcc rId="69" sId="1" numFmtId="4">
    <nc r="E627">
      <v>88.5</v>
    </nc>
  </rcc>
  <rcc rId="70" sId="1" numFmtId="4">
    <oc r="E628">
      <v>800.3</v>
    </oc>
    <nc r="E628">
      <f>800.3-88.5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" sId="1">
    <oc r="E633">
      <f>14088+0.5+6.8</f>
    </oc>
    <nc r="E633">
      <f>14088+0.5+6.8-1228.7</f>
    </nc>
  </rcc>
  <rcc rId="72" sId="1">
    <oc r="F633">
      <f>14085.1-491.4-7699.7</f>
    </oc>
    <nc r="F633">
      <f>14085.1-491.4-7699.7-495.7</f>
    </nc>
  </rcc>
  <rcc rId="73" sId="1">
    <oc r="G633">
      <f>14085.1-493.7-7735.4</f>
    </oc>
    <nc r="G633">
      <f>14085.1-493.7-7735.4-456.1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" sId="1" numFmtId="4">
    <oc r="E636">
      <v>1447</v>
    </oc>
    <nc r="E636">
      <f>1447+392</f>
    </nc>
  </rcc>
  <rcc rId="75" sId="1">
    <oc r="E638">
      <f>3368.3-5.7+1500</f>
    </oc>
    <nc r="E638">
      <f>3368.3-5.7+1500+885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" sId="1">
    <oc r="E647">
      <f>10212.9+642+108.3</f>
    </oc>
    <nc r="E647">
      <f>10212.9+642+108.3-642</f>
    </nc>
  </rcc>
  <rcc rId="77" sId="1">
    <oc r="E649">
      <f>103993</f>
    </oc>
    <nc r="E649">
      <f>103993-50</f>
    </nc>
  </rcc>
  <rcc rId="78" sId="1">
    <oc r="E650">
      <f>2644.9+903+1076.4</f>
    </oc>
    <nc r="E650">
      <f>2644.9+903+1076.4+50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" sId="1">
    <oc r="E608">
      <f>36942.3+4344.5+4325.6+8075.5+230+166+397.6</f>
    </oc>
    <nc r="E608">
      <f>36942.3+4344.5+4325.6+8075.5+230+166+397.6+570</f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0" sId="1" ref="A574:XFD574" action="insertRow"/>
  <rrc rId="81" sId="1" ref="A574:XFD574" action="insertRow"/>
  <rrc rId="82" sId="1" ref="A574:XFD574" action="insertRow"/>
  <rrc rId="83" sId="1" ref="A574:XFD574" action="insertRow"/>
  <rcc rId="84" sId="1" odxf="1" dxf="1">
    <nc r="A574" t="inlineStr">
      <is>
        <t>Муниципальные проекты города Благовещенска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85" sId="1" odxf="1" dxf="1">
    <nc r="A575" t="inlineStr">
      <is>
        <t>Муниципальный проект города Благовещенска "Модернизация систем дошкольного, общего и дополнительного образования"</t>
      </is>
    </nc>
    <odxf>
      <font>
        <sz val="12"/>
        <name val="Times New Roman"/>
        <family val="1"/>
      </font>
      <numFmt numFmtId="1" formatCode="0"/>
      <alignment horizontal="left"/>
    </odxf>
    <ndxf>
      <font>
        <sz val="12"/>
        <name val="Times New Roman"/>
        <family val="1"/>
      </font>
      <numFmt numFmtId="0" formatCode="General"/>
      <alignment horizontal="general"/>
    </ndxf>
  </rcc>
  <rcc rId="86" sId="1" odxf="1" dxf="1">
    <nc r="A576" t="inlineStr">
      <is>
        <t>Реализация мероприятий по благоустройству территории и созданию спортивной зоны (Муниципальное автономное учреждение «Лицей № 6 города Благовещенска» Амурской области, Ресурсный центр, ул.Зейская, 297)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87" sId="1" odxf="1" dxf="1">
    <nc r="A577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88" sId="1" odxf="1" dxf="1">
    <nc r="B574" t="inlineStr">
      <is>
        <t>0703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89" sId="1" odxf="1" dxf="1">
    <nc r="C574" t="inlineStr">
      <is>
        <t>04 2 00 00000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="1" sqref="D574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90" sId="1" odxf="1" dxf="1">
    <nc r="B575" t="inlineStr">
      <is>
        <t>0703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1" sId="1" odxf="1" dxf="1">
    <nc r="C575" t="inlineStr">
      <is>
        <t>04 2 01 00000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="1" sqref="D575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92" sId="1" odxf="1" dxf="1">
    <nc r="B576" t="inlineStr">
      <is>
        <t>0703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3" sId="1" odxf="1" dxf="1">
    <nc r="C576" t="inlineStr">
      <is>
        <t>04 2 01 10595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="1" sqref="D576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94" sId="1" odxf="1" dxf="1">
    <nc r="B577" t="inlineStr">
      <is>
        <t>0703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5" sId="1" odxf="1" dxf="1">
    <nc r="C577" t="inlineStr">
      <is>
        <t>04 2 01 10595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6" sId="1" odxf="1" s="1" dxf="1">
    <nc r="D577" t="inlineStr">
      <is>
        <t>600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97" sId="1" numFmtId="4">
    <nc r="E577">
      <v>24262</v>
    </nc>
  </rcc>
  <rcc rId="98" sId="1">
    <oc r="E581">
      <f>177633.2-81.2-3852.7+7292.4+1360+881.7-166+4685.1</f>
    </oc>
    <nc r="E581">
      <f>177633.2-81.2-3852.7+7292.4+1360+881.7-166+4685.1-18228+8935.2</f>
    </nc>
  </rcc>
  <rcc rId="99" sId="1">
    <oc r="E594">
      <f>193853.6+400+2005.9+1049.3</f>
    </oc>
    <nc r="E594">
      <f>193853.6+400+2005.9+1049.3+211.1+0.1</f>
    </nc>
  </rcc>
  <rcc rId="100" sId="1">
    <oc r="E573">
      <f>E578</f>
    </oc>
    <nc r="E573">
      <f>E578+E574</f>
    </nc>
  </rcc>
  <rcc rId="101" sId="1">
    <oc r="F573">
      <f>F578</f>
    </oc>
    <nc r="F573">
      <f>F578+F574</f>
    </nc>
  </rcc>
  <rcc rId="102" sId="1">
    <oc r="G573">
      <f>G578</f>
    </oc>
    <nc r="G573">
      <f>G578+G574</f>
    </nc>
  </rcc>
  <rcc rId="103" sId="1">
    <nc r="E574">
      <f>E575</f>
    </nc>
  </rcc>
  <rcc rId="104" sId="1">
    <nc r="E575">
      <f>E576</f>
    </nc>
  </rcc>
  <rcc rId="105" sId="1">
    <nc r="E576">
      <f>E577</f>
    </nc>
  </rcc>
  <rcc rId="106" sId="1">
    <nc r="F574">
      <f>F575</f>
    </nc>
  </rcc>
  <rcc rId="107" sId="1">
    <nc r="G574">
      <f>G575</f>
    </nc>
  </rcc>
  <rcc rId="108" sId="1">
    <nc r="F575">
      <f>F576</f>
    </nc>
  </rcc>
  <rcc rId="109" sId="1">
    <nc r="G575">
      <f>G576</f>
    </nc>
  </rcc>
  <rcc rId="110" sId="1">
    <nc r="F576">
      <f>F577</f>
    </nc>
  </rcc>
  <rcc rId="111" sId="1">
    <nc r="G576">
      <f>G577</f>
    </nc>
  </rcc>
  <rcc rId="112" sId="1" numFmtId="4">
    <nc r="F577">
      <v>0</v>
    </nc>
  </rcc>
  <rcc rId="113" sId="1" numFmtId="4">
    <nc r="G577">
      <v>0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" sId="1">
    <oc r="E524">
      <f>528463.6+43327.7-0.1</f>
    </oc>
    <nc r="E524">
      <f>528463.6+43327.7-0.1-25105.2+28109.8-0.1</f>
    </nc>
  </rcc>
  <rcc rId="115" sId="1" numFmtId="4">
    <oc r="F524">
      <v>547631.69999999995</v>
    </oc>
    <nc r="F524">
      <f>547631.7+252.4+26745</f>
    </nc>
  </rcc>
  <rcc rId="116" sId="1" numFmtId="4">
    <oc r="G524">
      <v>547722.79999999993</v>
    </oc>
    <nc r="G524">
      <f>547722.8+208.8+26697.6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" sId="1">
    <oc r="E538">
      <f>360069.6+160+1421.6+1114+15641.4+342+772.8+493.5+958.1+1502+129897.4</f>
    </oc>
    <nc r="E538">
      <f>360069.6+160+1421.6+1114+15641.4+342+772.8+493.5+958.1+1502+129897.4+62.9+1322.9+30509.3</f>
    </nc>
  </rcc>
  <rcc rId="118" sId="1" numFmtId="4">
    <oc r="F538">
      <v>365666.60000000003</v>
    </oc>
    <nc r="F538">
      <f>365666.6-16408.7</f>
    </nc>
  </rcc>
  <rcc rId="119" sId="1" numFmtId="4">
    <oc r="G538">
      <v>372138.2</v>
    </oc>
    <nc r="G538">
      <f>372138.2-208.8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" sId="1">
    <oc r="E137">
      <f>675.7+681.1+232.1+250+1499.9+4839.1+406.6+397.9+1300+580+7589.2-1233.2+291.3+800</f>
    </oc>
    <nc r="E137">
      <f>675.7+681.1+232.1+250+1499.9+4839.1+406.6+397.9+1300+580+7589.2-1233.2+291.3+800+300+291.2</f>
    </nc>
  </rcc>
  <rcc rId="121" sId="1" numFmtId="4">
    <oc r="E140">
      <v>1327.9</v>
    </oc>
    <nc r="E140">
      <f>1327.9-291.2</f>
    </nc>
  </rcc>
  <rcc rId="122" sId="1" numFmtId="4">
    <oc r="E223">
      <v>1000</v>
    </oc>
    <nc r="E223">
      <f>1000+1320</f>
    </nc>
  </rcc>
  <rrc rId="123" sId="1" ref="A230:XFD230" action="insertRow"/>
  <rrc rId="124" sId="1" ref="A230:XFD230" action="insertRow"/>
  <rcc rId="125" sId="1" odxf="1" dxf="1">
    <nc r="A230" t="inlineStr">
      <is>
    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    </is>
    </nc>
    <odxf>
      <font>
        <sz val="12"/>
        <name val="Times New Roman"/>
        <family val="1"/>
      </font>
      <numFmt numFmtId="1" formatCode="0"/>
      <alignment horizontal="left"/>
    </odxf>
    <ndxf>
      <font>
        <sz val="12"/>
        <name val="Times New Roman"/>
        <family val="1"/>
      </font>
      <numFmt numFmtId="0" formatCode="General"/>
      <alignment horizontal="general"/>
    </ndxf>
  </rcc>
  <rcc rId="126" sId="1" odxf="1" dxf="1">
    <nc r="A231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27" sId="1">
    <nc r="B230" t="inlineStr">
      <is>
        <t>0409</t>
      </is>
    </nc>
  </rcc>
  <rcc rId="128" sId="1">
    <nc r="B231" t="inlineStr">
      <is>
        <t>0409</t>
      </is>
    </nc>
  </rcc>
  <rcc rId="129" sId="1" odxf="1" dxf="1">
    <nc r="C230" t="inlineStr">
      <is>
        <t>02 2 01 SД140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230" start="0" length="0">
    <dxf>
      <font>
        <sz val="12"/>
        <name val="Times New Roman"/>
        <family val="1"/>
      </font>
    </dxf>
  </rfmt>
  <rcc rId="130" sId="1" odxf="1" dxf="1">
    <nc r="C231" t="inlineStr">
      <is>
        <t>02 2 01 SД140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1" sId="1" odxf="1" dxf="1">
    <nc r="D231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" sId="1">
    <nc r="E230">
      <f>+E231</f>
    </nc>
  </rcc>
  <rcc rId="133" sId="1">
    <nc r="F230">
      <f>+F231</f>
    </nc>
  </rcc>
  <rcc rId="134" sId="1">
    <nc r="G230">
      <f>+G231</f>
    </nc>
  </rcc>
  <rfmt sheetId="1" sqref="A230">
    <dxf>
      <fill>
        <patternFill patternType="solid">
          <bgColor rgb="FFFFFF00"/>
        </patternFill>
      </fill>
    </dxf>
  </rfmt>
  <rrc rId="135" sId="1" ref="A222:XFD222" action="insertRow"/>
  <rrc rId="136" sId="1" ref="A222:XFD222" action="insertRow"/>
  <rcc rId="137" sId="1" odxf="1" dxf="1">
    <nc r="A222" t="inlineStr">
      <is>
        <t>Устройство наружного освещения с.Белогорье по ул . Заводская на участке (от Родника до ул. Заводская .д. 7 (автобусная остановка))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8" sId="1" odxf="1" dxf="1">
    <nc r="A223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9" sId="1" odxf="1" dxf="1">
    <nc r="B222" t="inlineStr">
      <is>
        <t>0409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40" sId="1" odxf="1" dxf="1">
    <nc r="C222" t="inlineStr">
      <is>
        <t>02 2 01 9Д008</t>
      </is>
    </nc>
    <odxf>
      <font>
        <sz val="12"/>
        <name val="Times New Roman"/>
        <family val="1"/>
      </font>
      <numFmt numFmtId="1" formatCode="0"/>
      <alignment wrapText="1"/>
    </odxf>
    <ndxf>
      <font>
        <sz val="12"/>
        <name val="Times New Roman"/>
        <family val="1"/>
      </font>
      <numFmt numFmtId="30" formatCode="@"/>
      <alignment wrapText="0"/>
    </ndxf>
  </rcc>
  <rfmt sheetId="1" sqref="D222" start="0" length="0">
    <dxf>
      <font>
        <sz val="12"/>
        <name val="Times New Roman"/>
        <family val="1"/>
      </font>
      <numFmt numFmtId="30" formatCode="@"/>
      <alignment horizontal="center" wrapText="0"/>
    </dxf>
  </rfmt>
  <rcc rId="141" sId="1" odxf="1" dxf="1">
    <nc r="B223" t="inlineStr">
      <is>
        <t>0409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42" sId="1" odxf="1" dxf="1">
    <nc r="C223" t="inlineStr">
      <is>
        <t>02 2 01 9Д008</t>
      </is>
    </nc>
    <odxf>
      <font>
        <sz val="12"/>
        <name val="Times New Roman"/>
        <family val="1"/>
      </font>
      <numFmt numFmtId="1" formatCode="0"/>
      <alignment wrapText="1"/>
    </odxf>
    <ndxf>
      <font>
        <sz val="12"/>
        <name val="Times New Roman"/>
        <family val="1"/>
      </font>
      <numFmt numFmtId="30" formatCode="@"/>
      <alignment wrapText="0"/>
    </ndxf>
  </rcc>
  <rcc rId="143" sId="1" odxf="1" dxf="1">
    <nc r="D223" t="inlineStr">
      <is>
        <t>200</t>
      </is>
    </nc>
    <odxf>
      <font>
        <sz val="12"/>
        <name val="Times New Roman"/>
        <family val="1"/>
      </font>
      <numFmt numFmtId="1" formatCode="0"/>
      <alignment horizontal="left" wrapText="1"/>
    </odxf>
    <ndxf>
      <font>
        <sz val="12"/>
        <name val="Times New Roman"/>
        <family val="1"/>
      </font>
      <numFmt numFmtId="30" formatCode="@"/>
      <alignment horizontal="center" wrapText="0"/>
    </ndxf>
  </rcc>
  <rcc rId="144" sId="1" numFmtId="4">
    <nc r="E223">
      <v>979.1</v>
    </nc>
  </rcc>
  <rcc rId="145" sId="1">
    <nc r="E222">
      <f>+E223</f>
    </nc>
  </rcc>
  <rcc rId="146" sId="1">
    <nc r="F222">
      <f>+F223</f>
    </nc>
  </rcc>
  <rcc rId="147" sId="1">
    <nc r="G222">
      <f>+G223</f>
    </nc>
  </rcc>
  <rfmt sheetId="1" sqref="A222">
    <dxf>
      <fill>
        <patternFill patternType="solid">
          <bgColor rgb="FFFFFF00"/>
        </patternFill>
      </fill>
    </dxf>
  </rfmt>
  <rrc rId="148" sId="1" ref="A241:XFD241" action="insertRow"/>
  <rrc rId="149" sId="1" ref="A241:XFD241" action="insertRow"/>
  <rrc rId="150" sId="1" ref="A241:XFD241" action="insertRow"/>
  <rcc rId="151" sId="1" odxf="1" dxf="1">
    <nc r="A241" t="inlineStr">
      <is>
        <t>Осуществление муниципальными образованиями дорожной деятельности в отношении автомобильных дорог местного значения и сооружений на них (Содержание дорог)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2" sId="1" odxf="1" dxf="1">
    <nc r="A242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alignment horizontal="left"/>
    </odxf>
    <ndxf>
      <font>
        <sz val="12"/>
        <name val="Times New Roman"/>
        <family val="1"/>
      </font>
      <alignment horizontal="general"/>
    </ndxf>
  </rcc>
  <rcc rId="153" sId="1" odxf="1" dxf="1">
    <nc r="A243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4" sId="1" odxf="1" s="1" dxf="1">
    <nc r="B241" t="inlineStr">
      <is>
        <t>0409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55" sId="1" odxf="1" s="1" dxf="1">
    <nc r="C241" t="inlineStr">
      <is>
        <t>02 2 01 SД144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241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56" sId="1" odxf="1" s="1" dxf="1">
    <nc r="B242" t="inlineStr">
      <is>
        <t>0409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57" sId="1" odxf="1" s="1" dxf="1">
    <nc r="C242" t="inlineStr">
      <is>
        <t>02 2 01 SД144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58" sId="1" odxf="1" s="1" dxf="1">
    <nc r="D242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59" sId="1" odxf="1" s="1" dxf="1">
    <nc r="B243" t="inlineStr">
      <is>
        <t>0409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60" sId="1" odxf="1" s="1" dxf="1">
    <nc r="C243" t="inlineStr">
      <is>
        <t>02 2 01 SД144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61" sId="1" odxf="1" s="1" dxf="1">
    <nc r="D243" t="inlineStr">
      <is>
        <t>600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fmt sheetId="1" s="1" sqref="E242" start="0" length="0">
    <dxf>
      <font>
        <sz val="12"/>
        <color auto="1"/>
        <name val="Times New Roman"/>
        <family val="1"/>
        <charset val="204"/>
        <scheme val="none"/>
      </font>
    </dxf>
  </rfmt>
  <rfmt sheetId="1" s="1" sqref="E243" start="0" length="0">
    <dxf>
      <font>
        <sz val="12"/>
        <color auto="1"/>
        <name val="Times New Roman"/>
        <family val="1"/>
        <charset val="204"/>
        <scheme val="none"/>
      </font>
    </dxf>
  </rfmt>
  <rcc rId="162" sId="1">
    <nc r="E241">
      <f>+E242+E243</f>
    </nc>
  </rcc>
  <rcc rId="163" sId="1">
    <nc r="F241">
      <f>+F242+F243</f>
    </nc>
  </rcc>
  <rcc rId="164" sId="1">
    <nc r="G241">
      <f>+G242+G243</f>
    </nc>
  </rcc>
  <rcc rId="165" sId="1">
    <oc r="E213">
      <f>E214+E216+E232+E234+E237+E239+E222+E218+E227+E224+E220</f>
    </oc>
    <nc r="E213">
      <f>E214+E216+E234+E236+E239+E244+E224+E218+E229+E226+E220+E232+E222+E241</f>
    </nc>
  </rcc>
  <rrc rId="166" sId="1" ref="A252:XFD252" action="insertRow"/>
  <rrc rId="167" sId="1" ref="A252:XFD252" action="insertRow"/>
  <rrc rId="168" sId="1" ref="A252:XFD252" action="insertRow"/>
  <rrc rId="169" sId="1" ref="A252:XFD252" action="insertRow"/>
  <rrc rId="170" sId="1" ref="A252:XFD252" action="insertRow"/>
  <rrc rId="171" sId="1" ref="A252:XFD252" action="insertRow"/>
  <rcc rId="172" sId="1" odxf="1" s="1" dxf="1">
    <nc r="A252" t="inlineStr">
      <is>
        <t>Муниципальная программа "Формирование современной городской среды на территории города Благовещенска"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vertical="top"/>
    </ndxf>
  </rcc>
  <rcc rId="173" sId="1" odxf="1" s="1" dxf="1">
    <nc r="A253" t="inlineStr">
      <is>
        <t>Муниципальные проекты города Благовещенска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vertical="top"/>
    </ndxf>
  </rcc>
  <rcc rId="174" sId="1" odxf="1" s="1" dxf="1">
    <nc r="A254" t="inlineStr">
      <is>
        <t>Муниципальный проект города Благовещенска "Обеспечение проведения мероприятий по благоустройству территорий города Благовещенска"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</ndxf>
  </rcc>
  <rcc rId="175" sId="1" odxf="1" s="1" dxf="1">
    <nc r="A255" t="inlineStr">
      <is>
        <t>Восстановление асфальтового покрытия дворовой территории многоквартирного дома по адресу: г. Благовещенск, Игнатьевское шоссе, д. 12/4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horizontal="general"/>
    </ndxf>
  </rcc>
  <rcc rId="176" sId="1" odxf="1" s="1" dxf="1">
    <nc r="A256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</ndxf>
  </rcc>
  <rrc rId="177" sId="1" ref="A257:XFD257" action="deleteRow">
    <rfmt sheetId="1" xfDxf="1" sqref="A257:XFD25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fmt sheetId="1" s="1" sqref="A257" start="0" length="0">
      <dxf>
        <font>
          <sz val="12"/>
          <color auto="1"/>
          <name val="Times New Roman"/>
          <family val="1"/>
          <scheme val="none"/>
        </font>
        <alignment vertical="bottom" wrapText="1"/>
      </dxf>
    </rfmt>
    <rfmt sheetId="1" s="1" sqref="B257" start="0" length="0">
      <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dxf>
    </rfmt>
    <rfmt sheetId="1" s="1" sqref="C257" start="0" length="0">
      <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dxf>
    </rfmt>
    <rfmt sheetId="1" s="1" sqref="D257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="1" sqref="E257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="1" sqref="F257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="1" sqref="G257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</rrc>
  <rfmt sheetId="1" sqref="A252:A256">
    <dxf>
      <fill>
        <patternFill patternType="solid">
          <bgColor rgb="FFFFFF00"/>
        </patternFill>
      </fill>
    </dxf>
  </rfmt>
  <rcc rId="178" sId="1" odxf="1" s="1" dxf="1">
    <nc r="B252" t="inlineStr">
      <is>
        <t>0409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79" sId="1" odxf="1" s="1" dxf="1">
    <nc r="C252" t="inlineStr">
      <is>
        <t>11 0 00 00000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252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80" sId="1" odxf="1" s="1" dxf="1">
    <nc r="B253" t="inlineStr">
      <is>
        <t>0409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81" sId="1" odxf="1" s="1" dxf="1">
    <nc r="C253" t="inlineStr">
      <is>
        <t>11 2 00 00000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253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82" sId="1" odxf="1" s="1" dxf="1">
    <nc r="B254" t="inlineStr">
      <is>
        <t>0409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83" sId="1" odxf="1" s="1" dxf="1">
    <nc r="C254" t="inlineStr">
      <is>
        <t>11 2 01 00000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254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84" sId="1" odxf="1" s="1" dxf="1">
    <nc r="B255" t="inlineStr">
      <is>
        <t>0409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85" sId="1" odxf="1" s="1" dxf="1">
    <nc r="C255" t="inlineStr">
      <is>
        <t>11 2 01 9Д201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255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86" sId="1" odxf="1" s="1" dxf="1">
    <nc r="B256" t="inlineStr">
      <is>
        <t>0409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87" sId="1" odxf="1" s="1" dxf="1">
    <nc r="C256" t="inlineStr">
      <is>
        <t>11 2 01 9Д201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88" sId="1" odxf="1" s="1" dxf="1">
    <nc r="D256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89" sId="1" numFmtId="4">
    <nc r="E256">
      <v>332.6</v>
    </nc>
  </rcc>
  <rcc rId="190" sId="1">
    <nc r="E255">
      <f>+E256</f>
    </nc>
  </rcc>
  <rcc rId="191" sId="1">
    <nc r="E254">
      <f>+E255</f>
    </nc>
  </rcc>
  <rcc rId="192" sId="1">
    <nc r="E253">
      <f>+E254</f>
    </nc>
  </rcc>
  <rcc rId="193" sId="1">
    <nc r="E252">
      <f>+E253</f>
    </nc>
  </rcc>
  <rcc rId="194" sId="1">
    <nc r="F252">
      <f>+F253</f>
    </nc>
  </rcc>
  <rcc rId="195" sId="1">
    <nc r="G252">
      <f>+G253</f>
    </nc>
  </rcc>
  <rcc rId="196" sId="1">
    <oc r="E165">
      <f>E166+E212+E246</f>
    </oc>
    <nc r="E165">
      <f>E166+E212+E246+E252</f>
    </nc>
  </rcc>
  <rcc rId="197" sId="1">
    <oc r="F165">
      <f>F166+F212+F246</f>
    </oc>
    <nc r="F165">
      <f>F166+F212+F246+F252</f>
    </nc>
  </rcc>
  <rcc rId="198" sId="1">
    <oc r="G165">
      <f>G166+G212+G246</f>
    </oc>
    <nc r="G165">
      <f>G166+G212+G246+G252</f>
    </nc>
  </rcc>
  <rcc rId="199" sId="1" numFmtId="4">
    <oc r="E179">
      <v>24380.6</v>
    </oc>
    <nc r="E179">
      <f>24380.6-24380.6</f>
    </nc>
  </rcc>
  <rfmt sheetId="1" sqref="E179">
    <dxf>
      <fill>
        <patternFill patternType="solid">
          <bgColor rgb="FFFFFF00"/>
        </patternFill>
      </fill>
    </dxf>
  </rfmt>
  <rcc rId="200" sId="1" numFmtId="4">
    <oc r="E181">
      <v>20927.5</v>
    </oc>
    <nc r="E181">
      <f>20927.5-16717.7</f>
    </nc>
  </rcc>
  <rcc rId="201" sId="1" numFmtId="4">
    <oc r="E183">
      <v>42075.1</v>
    </oc>
    <nc r="E183">
      <f>42075.1+1218.5</f>
    </nc>
  </rcc>
  <rcc rId="202" sId="1" numFmtId="4">
    <oc r="E185">
      <v>56260.7</v>
    </oc>
    <nc r="E185">
      <f>56260.7+1776.8</f>
    </nc>
  </rcc>
  <rcc rId="203" sId="1" numFmtId="4">
    <oc r="E187">
      <v>45758.7</v>
    </oc>
    <nc r="E187">
      <f>45758.7+1858.5</f>
    </nc>
  </rcc>
  <rcc rId="204" sId="1" numFmtId="4">
    <oc r="E189">
      <v>45800.6</v>
    </oc>
    <nc r="E189">
      <f>45800.6+1495</f>
    </nc>
  </rcc>
  <rcc rId="205" sId="1" numFmtId="4">
    <oc r="E191">
      <v>44077.7</v>
    </oc>
    <nc r="E191">
      <f>44077.7+1372.2</f>
    </nc>
  </rcc>
  <rcc rId="206" sId="1" numFmtId="4">
    <oc r="E193">
      <v>107800.8</v>
    </oc>
    <nc r="E193">
      <f>107800.8-12229.3</f>
    </nc>
  </rcc>
  <rcc rId="207" sId="1" numFmtId="4">
    <oc r="E195">
      <v>101983.5</v>
    </oc>
    <nc r="E195">
      <f>101983.5-12229.3</f>
    </nc>
  </rcc>
  <rcc rId="208" sId="1" numFmtId="4">
    <oc r="E209">
      <v>0</v>
    </oc>
    <nc r="E209">
      <v>5983.6</v>
    </nc>
  </rcc>
  <rrc rId="209" sId="1" ref="A210:XFD210" action="insertRow"/>
  <rrc rId="210" sId="1" ref="A210:XFD210" action="insertRow"/>
  <rcc rId="211" sId="1">
    <nc r="A210" t="inlineStr">
      <is>
        <t>Осуществление дорожной деятельности в рамках реализации национального проекта "Инфраструктура для жизни" (Реконструкция ул. Краснофлотская от ул. Островского до ул. Театральная в г. Благовещенск, Амурская область)</t>
      </is>
    </nc>
  </rcc>
  <rcc rId="212" sId="1" odxf="1" dxf="1">
    <nc r="A211" t="inlineStr">
      <is>
        <t>Капитальные вложения в объекты государственной (муниципальной) собственности</t>
      </is>
    </nc>
    <odxf>
      <numFmt numFmtId="1" formatCode="0"/>
    </odxf>
    <ndxf>
      <numFmt numFmtId="0" formatCode="General"/>
    </ndxf>
  </rcc>
  <rcc rId="213" sId="1">
    <nc r="B210" t="inlineStr">
      <is>
        <t>0409</t>
      </is>
    </nc>
  </rcc>
  <rcc rId="214" sId="1">
    <nc r="C210" t="inlineStr">
      <is>
        <t>02 1 И8 9Д11Н</t>
      </is>
    </nc>
  </rcc>
  <rcc rId="215" sId="1">
    <nc r="B211" t="inlineStr">
      <is>
        <t>0409</t>
      </is>
    </nc>
  </rcc>
  <rcc rId="216" sId="1">
    <nc r="C211" t="inlineStr">
      <is>
        <t>02 1 И8 9Д11Н</t>
      </is>
    </nc>
  </rcc>
  <rcc rId="217" sId="1">
    <nc r="D211" t="inlineStr">
      <is>
        <t>400</t>
      </is>
    </nc>
  </rcc>
  <rcc rId="218" sId="1" numFmtId="4">
    <nc r="E211">
      <v>282318.7</v>
    </nc>
  </rcc>
  <rcc rId="219" sId="1">
    <nc r="E210">
      <f>+E211</f>
    </nc>
  </rcc>
  <rcc rId="220" sId="1">
    <nc r="F210">
      <f>+F211</f>
    </nc>
  </rcc>
  <rcc rId="221" sId="1">
    <nc r="G210">
      <f>+G211</f>
    </nc>
  </rcc>
  <rcc rId="222" sId="1">
    <oc r="E167">
      <f>+E168+E170+E172+E174+E176+E178+E180+E182+E184+E190+E186+E188+E192+E194+E196+E198+E200+E202+E204+E206+E208+E212</f>
    </oc>
    <nc r="E167">
      <f>+E168+E170+E172+E174+E176+E178+E180+E182+E184+E190+E186+E188+E192+E194+E196+E198+E200+E202+E204+E206+E208+E212+E210</f>
    </nc>
  </rcc>
  <rcc rId="223" sId="1">
    <nc r="E235">
      <f>3961.3+3950.4-3961.3+61890.1</f>
    </nc>
  </rcc>
  <rcc rId="224" sId="1">
    <oc r="E237">
      <f>121441.9-5397.1-84553.8</f>
    </oc>
    <nc r="E237">
      <f>121441.9-5397.1-84553.8+1048.5+16426.7</f>
    </nc>
  </rcc>
  <rcc rId="225" sId="1">
    <oc r="E239">
      <f>71493.1+341.8+5354.5</f>
    </oc>
    <nc r="E239">
      <f>71493.1+341.8+5354.5+13526.2-29.9-467.9</f>
    </nc>
  </rcc>
  <rcc rId="226" sId="1">
    <oc r="E242">
      <f>2188.3+2697+42253.4</f>
    </oc>
    <nc r="E242">
      <f>2188.3+2697+42253.4+288.9+29.9+4994</f>
    </nc>
  </rcc>
  <rcc rId="227" sId="1" numFmtId="4">
    <nc r="E244">
      <f>1475+23108.9</f>
    </nc>
  </rcc>
  <rcc rId="228" sId="1" numFmtId="4">
    <nc r="E245">
      <f>2486.3+38951.4</f>
    </nc>
  </rcc>
  <rfmt sheetId="1" sqref="A164:E164">
    <dxf>
      <fill>
        <patternFill patternType="solid">
          <bgColor rgb="FFFFFF00"/>
        </patternFill>
      </fill>
    </dxf>
  </rfmt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рпр!$A$8:$G$826</formula>
    <oldFormula>рпр!$A$8:$G$826</oldFormula>
  </rdn>
  <rcv guid="{AA62EF5A-85DE-4BC8-95D5-4F54CE8CF3D6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E794">
      <f>28376.3+42.5+158.8</f>
    </oc>
    <nc r="E794">
      <f>28376.3+42.5+158.8+44</f>
    </nc>
  </rcc>
  <rcc rId="2" sId="1">
    <oc r="E778">
      <f>130715.5+1298.4+15747.3+10207.8+8841+5282.4+33519.5</f>
    </oc>
    <nc r="E778">
      <f>130715.5+1298.4+15747.3+10207.8+8841+5282.4+33519.5+1981.2+25981+18228+1620.2</f>
    </nc>
  </rcc>
  <rcv guid="{1CA6CCC9-64EF-4CA9-9C9C-1E572976D134}" action="delete"/>
  <rdn rId="0" localSheetId="1" customView="1" name="Z_1CA6CCC9_64EF_4CA9_9C9C_1E572976D134_.wvu.PrintTitles" hidden="1" oldHidden="1">
    <formula>рпр!$9:$10</formula>
    <oldFormula>рпр!$9:$10</oldFormula>
  </rdn>
  <rdn rId="0" localSheetId="1" customView="1" name="Z_1CA6CCC9_64EF_4CA9_9C9C_1E572976D134_.wvu.FilterData" hidden="1" oldHidden="1">
    <formula>рпр!$A$8:$G$804</formula>
    <oldFormula>рпр!$A$8:$G$804</oldFormula>
  </rdn>
  <rcv guid="{1CA6CCC9-64EF-4CA9-9C9C-1E572976D134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" sId="1">
    <oc r="E570">
      <f>18932.9+5961.7+5.3</f>
    </oc>
    <nc r="E570">
      <f>18932.9+5961.7+5.3-0.1</f>
    </nc>
  </rcc>
  <rcc rId="232" sId="1">
    <oc r="E572">
      <f>2156.3+0.2</f>
    </oc>
    <nc r="E572">
      <f>2156.3+0.2+6.1</f>
    </nc>
  </rcc>
  <rcc rId="233" sId="1">
    <oc r="E574">
      <f>4042.3+6.2</f>
    </oc>
    <nc r="E574">
      <f>4042.3+6.2+611.2</f>
    </nc>
  </rcc>
  <rcc rId="234" sId="1" numFmtId="4">
    <oc r="E579">
      <v>5.7</v>
    </oc>
    <nc r="E579">
      <f>5.7+650</f>
    </nc>
  </rcc>
  <rcc rId="235" sId="1" numFmtId="4">
    <oc r="F527">
      <v>19313.5</v>
    </oc>
    <nc r="F527">
      <f>19313.5+125156.3</f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" sId="1" numFmtId="4">
    <oc r="F526">
      <v>19313.5</v>
    </oc>
    <nc r="F526">
      <f>F527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7" sId="1">
    <oc r="E510">
      <f>888230.5+1850+70.1+1200+30712.6</f>
    </oc>
    <nc r="E510">
      <f>888230.5+1850+70.1+1200+30712.6+1161.1+520.3+55870.8</f>
    </nc>
  </rcc>
  <rcc rId="238" sId="1" numFmtId="4">
    <oc r="F510">
      <v>897966.2</v>
    </oc>
    <nc r="F510">
      <f>897966.2-109000</f>
    </nc>
  </rcc>
  <rcc rId="239" sId="1">
    <oc r="E512">
      <f>1152+8416.8-2745-1323.8+8.4+131.6</f>
    </oc>
    <nc r="E512">
      <f>1152+8416.8-2745-1323.8+8.4+131.6+600</f>
    </nc>
  </rcc>
  <rcc rId="240" sId="1">
    <oc r="E513">
      <f>9631.2+2660.5-8.4-131.6</f>
    </oc>
    <nc r="E513">
      <f>9631.2+2660.5-8.4-131.6-600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" sId="1">
    <oc r="E497">
      <f>20582.9+3861.9</f>
    </oc>
    <nc r="E497">
      <f>20582.9+3861.9+14583.6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2" sId="1" numFmtId="4">
    <oc r="E302">
      <v>2065</v>
    </oc>
    <nc r="E302">
      <f>2065+1175.1</f>
    </nc>
  </rcc>
  <rcc rId="243" sId="1">
    <oc r="E371">
      <f>3341.8+52354.8</f>
    </oc>
    <nc r="E371">
      <f>3341.8+52354.8+1631.7</f>
    </nc>
  </rcc>
  <rcc rId="244" sId="1">
    <oc r="E373">
      <f>2014.5+31559.9</f>
    </oc>
    <nc r="E373">
      <f>2014.5+31559.9+148.6</f>
    </nc>
  </rcc>
  <rrc rId="245" sId="1" ref="A429:XFD430" action="insertRow"/>
  <rcc rId="246" sId="1" odxf="1" dxf="1">
    <nc r="A429" t="inlineStr">
      <is>
        <t>Обустройство сквера в районе ул. Калинина-ул.Ломоносова (устройство электроснабжения и видеонаблюдения)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" sId="1" odxf="1" dxf="1">
    <nc r="A430" t="inlineStr">
      <is>
        <t>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8" sId="1">
    <nc r="B429" t="inlineStr">
      <is>
        <t>0503</t>
      </is>
    </nc>
  </rcc>
  <rcc rId="249" sId="1">
    <nc r="C429" t="inlineStr">
      <is>
        <t>11 2 01 10787</t>
      </is>
    </nc>
  </rcc>
  <rcc rId="250" sId="1">
    <nc r="B430" t="inlineStr">
      <is>
        <t>0503</t>
      </is>
    </nc>
  </rcc>
  <rcc rId="251" sId="1">
    <nc r="C430" t="inlineStr">
      <is>
        <t>11 2 01 10787</t>
      </is>
    </nc>
  </rcc>
  <rcc rId="252" sId="1">
    <nc r="D430" t="inlineStr">
      <is>
        <t>200</t>
      </is>
    </nc>
  </rcc>
  <rfmt sheetId="1" sqref="A429:XFD430" start="0" length="2147483647">
    <dxf>
      <font>
        <color rgb="FFC00000"/>
      </font>
    </dxf>
  </rfmt>
  <rcc rId="253" sId="1">
    <nc r="E429">
      <f>E430</f>
    </nc>
  </rcc>
  <rcc rId="254" sId="1" numFmtId="4">
    <nc r="E430">
      <v>435.8</v>
    </nc>
  </rcc>
  <rcc rId="255" sId="1">
    <oc r="E412">
      <f>E413+E417+E433+E435+E419+E421+E423+E425+E427+E415+E431</f>
    </oc>
    <nc r="E412">
      <f>E413+E417+E433+E435+E419+E421+E423+E425+E427+E415+E431+E429</f>
    </nc>
  </rcc>
  <rcc rId="256" sId="1">
    <oc r="F412">
      <f>F413+F417+F433+F435+F419+F421+F423+F425+F427</f>
    </oc>
    <nc r="F412">
      <f>F413+F417+F433+F435+F419+F421+F423+F425+F427+F415+F431+F429</f>
    </nc>
  </rcc>
  <rcc rId="257" sId="1">
    <oc r="G412">
      <f>G413+G417+G433+G435+G419+G421+G423+G425+G427</f>
    </oc>
    <nc r="G412">
      <f>G413+G417+G433+G435+G419+G421+G423+G425+G427+G415+G431+G429</f>
    </nc>
  </rcc>
  <rcc rId="258" sId="1">
    <nc r="F429">
      <f>F430</f>
    </nc>
  </rcc>
  <rcc rId="259" sId="1">
    <nc r="G429">
      <f>G430</f>
    </nc>
  </rcc>
  <rcc rId="260" sId="1" numFmtId="4">
    <nc r="F430">
      <v>0</v>
    </nc>
  </rcc>
  <rcc rId="261" sId="1" numFmtId="4">
    <nc r="G430">
      <v>0</v>
    </nc>
  </rc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FilterData" hidden="1" oldHidden="1">
    <formula>рпр!$A$8:$G$828</formula>
    <oldFormula>рпр!$A$8:$G$828</oldFormula>
  </rdn>
  <rcv guid="{2A135292-D5EB-4A8D-A93E-D0B24F2543E0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" sId="1">
    <oc r="E442">
      <f>21000+350-4799.8</f>
    </oc>
    <nc r="E442">
      <f>21000+350-4799.8+7360</f>
    </nc>
  </rcc>
  <rcc rId="265" sId="1">
    <oc r="E492">
      <f>23638+45013.3</f>
    </oc>
    <nc r="E492">
      <f>23638+45013.3+50</f>
    </nc>
  </rcc>
  <rcc rId="266" sId="1">
    <oc r="E436">
      <f>6766+106000+8435.2+7200</f>
    </oc>
    <nc r="E436">
      <f>6766+106000+8435.2+7200+431.3</f>
    </nc>
  </rcc>
  <rrc rId="267" sId="1" ref="A464:XFD465" action="insertRow"/>
  <rcc rId="268" sId="1">
    <nc r="A464" t="inlineStr">
      <is>
        <t>Проведение общегородского конкурса «Фестиваль цветов «Город в цвете»</t>
      </is>
    </nc>
  </rcc>
  <rcc rId="269" sId="1" odxf="1" dxf="1">
    <nc r="A465" t="inlineStr">
      <is>
        <t>Социальное обеспечение и иные выплаты населению</t>
      </is>
    </nc>
    <odxf>
      <alignment horizontal="left"/>
    </odxf>
    <ndxf>
      <alignment horizontal="general"/>
    </ndxf>
  </rcc>
  <rcc rId="270" sId="1">
    <nc r="B464" t="inlineStr">
      <is>
        <t>0503</t>
      </is>
    </nc>
  </rcc>
  <rcc rId="271" sId="1">
    <nc r="C464" t="inlineStr">
      <is>
        <t>11 3 01 10830</t>
      </is>
    </nc>
  </rcc>
  <rcc rId="272" sId="1">
    <nc r="B465" t="inlineStr">
      <is>
        <t>0503</t>
      </is>
    </nc>
  </rcc>
  <rcc rId="273" sId="1">
    <nc r="C465" t="inlineStr">
      <is>
        <t>11 3 01 10830</t>
      </is>
    </nc>
  </rcc>
  <rcc rId="274" sId="1">
    <nc r="D465" t="inlineStr">
      <is>
        <t>300</t>
      </is>
    </nc>
  </rcc>
  <rfmt sheetId="1" sqref="A464:XFD465" start="0" length="2147483647">
    <dxf>
      <font>
        <color rgb="FFC00000"/>
      </font>
    </dxf>
  </rfmt>
  <rcc rId="275" sId="1">
    <nc r="E464">
      <f>E465</f>
    </nc>
  </rcc>
  <rcc rId="276" sId="1" numFmtId="4">
    <nc r="E465">
      <v>1020</v>
    </nc>
  </rcc>
  <rcc rId="277" sId="1">
    <oc r="E438">
      <f>E439+E443+E441+E446+E448+E450+E452+E454+E456+E458+E460+E466+E468+E472+E462+E470</f>
    </oc>
    <nc r="E438">
      <f>E439+E443+E441+E446+E448+E450+E452+E454+E456+E458+E460+E466+E468+E472+E462+E470+E464</f>
    </nc>
  </rcc>
  <rcc rId="278" sId="1">
    <oc r="F438">
      <f>F439+F443+F441+F446+F448+F450+F452+F454+F456+F458+F460+F466+F468+F472+F462+F470</f>
    </oc>
    <nc r="F438">
      <f>F439+F443+F441+F446+F448+F450+F452+F454+F456+F458+F460+F466+F468+F472+F462+F470+F464</f>
    </nc>
  </rcc>
  <rcc rId="279" sId="1">
    <oc r="G438">
      <f>G439+G443+G441+G446+G448+G450+G452+G454+G456+G458+G460+G466+G468+G472+G462+G470</f>
    </oc>
    <nc r="G438">
      <f>G439+G443+G441+G446+G448+G450+G452+G454+G456+G458+G460+G466+G468+G472+G462+G470+G464</f>
    </nc>
  </rcc>
  <rcc rId="280" sId="1">
    <nc r="F464">
      <f>F465</f>
    </nc>
  </rcc>
  <rcc rId="281" sId="1">
    <nc r="G464">
      <f>G465</f>
    </nc>
  </rcc>
  <rcc rId="282" sId="1" numFmtId="4">
    <nc r="F465">
      <v>0</v>
    </nc>
  </rcc>
  <rcc rId="283" sId="1" numFmtId="4">
    <nc r="G465">
      <v>0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" sId="1">
    <oc r="E467">
      <f>172666.9+16381.6</f>
    </oc>
    <nc r="E467">
      <f>172666.9+16381.6+1413.8</f>
    </nc>
  </rcc>
  <rcc rId="285" sId="1">
    <oc r="E298">
      <f>11636.1+543.5-1107.8</f>
    </oc>
    <nc r="E298">
      <f>11636.1+543.5-1107.8-578.2</f>
    </nc>
  </rcc>
  <rcc rId="286" sId="1">
    <oc r="E302">
      <f>2065+1175.1</f>
    </oc>
    <nc r="E302">
      <f>2065+1175.1+578.2</f>
    </nc>
  </rcc>
  <rcc rId="287" sId="1">
    <oc r="E339">
      <f>231170.2-9263.5-145127.3-2524.5-39550</f>
    </oc>
    <nc r="E339">
      <f>231170.2-9263.5-145127.3-2524.5-39550+61.4+962.1</f>
    </nc>
  </rcc>
  <rrc rId="288" sId="1" ref="A382:XFD383" action="insertRow"/>
  <rcc rId="289" sId="1">
    <nc r="A382" t="inlineStr">
      <is>
        <t>Расходы, направленные на модернизацию коммунальной инфраструктуры (Ремонт тепловой сети по ул. Краснофлотская от ТК-45 до ТК-46)</t>
      </is>
    </nc>
  </rcc>
  <rcc rId="290" sId="1">
    <nc r="A383" t="inlineStr">
      <is>
        <t>Закупка товаров, работ и услуг для обеспечения государственных (муниципальных) нужд</t>
      </is>
    </nc>
  </rcc>
  <rcc rId="291" sId="1">
    <nc r="B382" t="inlineStr">
      <is>
        <t>0502</t>
      </is>
    </nc>
  </rcc>
  <rcc rId="292" sId="1">
    <nc r="C382" t="inlineStr">
      <is>
        <t>03 2 01 S7427</t>
      </is>
    </nc>
  </rcc>
  <rcc rId="293" sId="1">
    <nc r="B383" t="inlineStr">
      <is>
        <t>0502</t>
      </is>
    </nc>
  </rcc>
  <rcc rId="294" sId="1">
    <nc r="C383" t="inlineStr">
      <is>
        <t>03 2 01 S7427</t>
      </is>
    </nc>
  </rcc>
  <rcc rId="295" sId="1">
    <nc r="D383" t="inlineStr">
      <is>
        <t>200</t>
      </is>
    </nc>
  </rcc>
  <rfmt sheetId="1" sqref="A382:XFD383" start="0" length="2147483647">
    <dxf>
      <font>
        <color rgb="FFC00000"/>
      </font>
    </dxf>
  </rfmt>
  <rcc rId="296" sId="1">
    <nc r="E382">
      <f>E383</f>
    </nc>
  </rcc>
  <rcc rId="297" sId="1">
    <nc r="F382">
      <f>F383</f>
    </nc>
  </rcc>
  <rcc rId="298" sId="1">
    <nc r="G382">
      <f>G383</f>
    </nc>
  </rcc>
  <rcc rId="299" sId="1">
    <nc r="E383">
      <f>975+15275.7</f>
    </nc>
  </rcc>
  <rcc rId="300" sId="1">
    <oc r="E321">
      <f>E322+E324+E326+E328+E336+E338+E340+E342+E344+E330+E334+E346+E348+E350+E352+E354+E356+E332+E358+E360+E362+E364+E366+E368+E370+E372+E374+E376+E378+E380</f>
    </oc>
    <nc r="E321">
      <f>E322+E324+E326+E328+E336+E338+E340+E342+E344+E330+E334+E346+E348+E350+E352+E354+E356+E332+E358+E360+E362+E364+E366+E368+E370+E372+E374+E376+E378+E380+E382</f>
    </nc>
  </rcc>
  <rcc rId="301" sId="1">
    <oc r="F321">
      <f>F322+F324+F326+F328+F336+F338+F340+F342+F344+F330+F334+F346+F348+F350+F352+F354+F356+F332+F358+F360+F362+F364+F366+F368+F370+F372+F374+F376+F378+F380</f>
    </oc>
    <nc r="F321">
      <f>F322+F324+F326+F328+F336+F338+F340+F342+F344+F330+F334+F346+F348+F350+F352+F354+F356+F332+F358+F360+F362+F364+F366+F368+F370+F372+F374+F376+F378+F380+F382</f>
    </nc>
  </rcc>
  <rcc rId="302" sId="1">
    <oc r="G321">
      <f>G322+G324+G326+G328+G336+G338+G340+G342+G344+G330+G334+G346+G348+G350+G352+G354+G356+G332+G358+G360+G362+G364+G366+G368+G370+G372+G374+G376+G378+G380</f>
    </oc>
    <nc r="G321">
      <f>G322+G324+G326+G328+G336+G338+G340+G342+G344+G330+G334+G346+G348+G350+G352+G354+G356+G332+G358+G360+G362+G364+G366+G368+G370+G372+G374+G376+G378+G380+G382</f>
    </nc>
  </rcc>
  <rrc rId="303" sId="1" ref="A433:XFD434" action="insertRow"/>
  <rcc rId="304" sId="1" odxf="1" dxf="1">
    <nc r="A433" t="inlineStr">
      <is>
        <t>Обустройство кладбища в районе с. Белогорье (устройство водопропускной трубы в районе проезда)</t>
      </is>
    </nc>
    <odxf>
      <font>
        <sz val="12"/>
        <color rgb="FFC00000"/>
        <name val="Times New Roman"/>
        <family val="1"/>
      </font>
    </odxf>
    <ndxf>
      <font>
        <sz val="12"/>
        <color rgb="FFC00000"/>
        <name val="Times New Roman"/>
        <family val="1"/>
      </font>
    </ndxf>
  </rcc>
  <rcc rId="305" sId="1" odxf="1" dxf="1">
    <nc r="A434" t="inlineStr">
      <is>
        <t>Закупка товаров, работ и услуг для обеспечения государственных (муниципальных) нужд</t>
      </is>
    </nc>
    <odxf>
      <font>
        <sz val="12"/>
        <color rgb="FFC00000"/>
        <name val="Times New Roman"/>
        <family val="1"/>
      </font>
    </odxf>
    <ndxf>
      <font>
        <sz val="12"/>
        <color rgb="FFC00000"/>
        <name val="Times New Roman"/>
        <family val="1"/>
      </font>
    </ndxf>
  </rcc>
  <rcc rId="306" sId="1" odxf="1" dxf="1">
    <nc r="B433" t="inlineStr">
      <is>
        <t>0503</t>
      </is>
    </nc>
    <odxf>
      <font>
        <sz val="12"/>
        <color rgb="FFC00000"/>
        <name val="Times New Roman"/>
        <family val="1"/>
      </font>
    </odxf>
    <ndxf>
      <font>
        <sz val="12"/>
        <color rgb="FFC00000"/>
        <name val="Times New Roman"/>
        <family val="1"/>
      </font>
    </ndxf>
  </rcc>
  <rcc rId="307" sId="1" odxf="1" dxf="1">
    <nc r="C433" t="inlineStr">
      <is>
        <t>11 2 01 10861</t>
      </is>
    </nc>
    <odxf>
      <font>
        <sz val="12"/>
        <color rgb="FFC00000"/>
        <name val="Times New Roman"/>
        <family val="1"/>
      </font>
    </odxf>
    <ndxf>
      <font>
        <sz val="12"/>
        <color rgb="FFC00000"/>
        <name val="Times New Roman"/>
        <family val="1"/>
      </font>
    </ndxf>
  </rcc>
  <rfmt sheetId="1" sqref="D433" start="0" length="0">
    <dxf>
      <font>
        <sz val="12"/>
        <color rgb="FFC00000"/>
        <name val="Times New Roman"/>
        <family val="1"/>
      </font>
    </dxf>
  </rfmt>
  <rcc rId="308" sId="1" odxf="1" dxf="1">
    <nc r="B434" t="inlineStr">
      <is>
        <t>0503</t>
      </is>
    </nc>
    <odxf>
      <font>
        <sz val="12"/>
        <color rgb="FFC00000"/>
        <name val="Times New Roman"/>
        <family val="1"/>
      </font>
    </odxf>
    <ndxf>
      <font>
        <sz val="12"/>
        <color rgb="FFC00000"/>
        <name val="Times New Roman"/>
        <family val="1"/>
      </font>
    </ndxf>
  </rcc>
  <rcc rId="309" sId="1" odxf="1" dxf="1">
    <nc r="C434" t="inlineStr">
      <is>
        <t>11 2 01 10861</t>
      </is>
    </nc>
    <odxf>
      <font>
        <sz val="12"/>
        <color rgb="FFC00000"/>
        <name val="Times New Roman"/>
        <family val="1"/>
      </font>
    </odxf>
    <ndxf>
      <font>
        <sz val="12"/>
        <color rgb="FFC00000"/>
        <name val="Times New Roman"/>
        <family val="1"/>
      </font>
    </ndxf>
  </rcc>
  <rcc rId="310" sId="1" odxf="1" dxf="1">
    <nc r="D434" t="inlineStr">
      <is>
        <t>200</t>
      </is>
    </nc>
    <odxf>
      <font>
        <sz val="12"/>
        <color rgb="FFC00000"/>
        <name val="Times New Roman"/>
        <family val="1"/>
      </font>
    </odxf>
    <ndxf>
      <font>
        <sz val="12"/>
        <color rgb="FFC00000"/>
        <name val="Times New Roman"/>
        <family val="1"/>
      </font>
    </ndxf>
  </rcc>
  <rfmt sheetId="1" sqref="A433:XFD434" start="0" length="2147483647">
    <dxf>
      <font>
        <color rgb="FFC00000"/>
      </font>
    </dxf>
  </rfmt>
  <rcc rId="311" sId="1">
    <nc r="E433">
      <f>E434</f>
    </nc>
  </rcc>
  <rcc rId="312" sId="1">
    <nc r="F433">
      <f>F434</f>
    </nc>
  </rcc>
  <rcc rId="313" sId="1">
    <nc r="G433">
      <f>G434</f>
    </nc>
  </rcc>
  <rcc rId="314" sId="1" numFmtId="4">
    <nc r="F434">
      <v>0</v>
    </nc>
  </rcc>
  <rcc rId="315" sId="1" numFmtId="4">
    <nc r="G434">
      <v>0</v>
    </nc>
  </rcc>
  <rcc rId="316" sId="1" numFmtId="4">
    <nc r="E434">
      <v>2572.1</v>
    </nc>
  </rcc>
  <rcc rId="317" sId="1">
    <oc r="E414">
      <f>E415+E419+E437+E439+E421+E423+E425+E427+E429+E417+E435+E431</f>
    </oc>
    <nc r="E414">
      <f>E415+E419+E437+E439+E421+E423+E425+E427+E429+E417+E435+E431+E433</f>
    </nc>
  </rcc>
  <rcc rId="318" sId="1">
    <oc r="F414">
      <f>F415+F419+F437+F439+F421+F423+F425+F427+F429+F417+F435+F431</f>
    </oc>
    <nc r="F414">
      <f>F415+F419+F437+F439+F421+F423+F425+F427+F429+F417+F435+F431+F433</f>
    </nc>
  </rcc>
  <rcc rId="319" sId="1">
    <oc r="G414">
      <f>G415+G419+G437+G439+G421+G423+G425+G427+G429+G417+G435+G431</f>
    </oc>
    <nc r="G414">
      <f>G415+G419+G437+G439+G421+G423+G425+G427+G429+G417+G435+G431+G433</f>
    </nc>
  </rcc>
  <rcc rId="320" sId="1">
    <oc r="E446">
      <f>21000+350-4799.8+7360</f>
    </oc>
    <nc r="E446">
      <f>21000+350-4799.8+7360+1158.2</f>
    </nc>
  </rcc>
  <rfmt sheetId="1" sqref="E446" start="0" length="2147483647">
    <dxf>
      <font>
        <color rgb="FFC00000"/>
      </font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1" sId="1" ref="A305:XFD306" action="insertRow"/>
  <rcc rId="322" sId="1" odxf="1" s="1" dxf="1">
    <nc r="A305" t="inlineStr">
      <is>
        <t>Устройство накопителей жидких бытовых отходов в неблагоустроенном жилищном
фонде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1" formatCode="0"/>
      <alignment horizontal="left"/>
    </ndxf>
  </rcc>
  <rcc rId="323" sId="1" odxf="1" s="1" dxf="1">
    <nc r="A306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1" formatCode="0"/>
    </ndxf>
  </rcc>
  <rcc rId="324" sId="1">
    <nc r="B305" t="inlineStr">
      <is>
        <t>0501</t>
      </is>
    </nc>
  </rcc>
  <rcc rId="325" sId="1">
    <nc r="C305" t="inlineStr">
      <is>
        <t>03 2 02 10224</t>
      </is>
    </nc>
  </rcc>
  <rcc rId="326" sId="1">
    <nc r="B306" t="inlineStr">
      <is>
        <t>0501</t>
      </is>
    </nc>
  </rcc>
  <rcc rId="327" sId="1">
    <nc r="C306" t="inlineStr">
      <is>
        <t>03 2 02 10224</t>
      </is>
    </nc>
  </rcc>
  <rcc rId="328" sId="1">
    <nc r="D306" t="inlineStr">
      <is>
        <t>200</t>
      </is>
    </nc>
  </rcc>
  <rfmt sheetId="1" sqref="A305:XFD306" start="0" length="2147483647">
    <dxf>
      <font>
        <color rgb="FFC00000"/>
      </font>
    </dxf>
  </rfmt>
  <rcc rId="329" sId="1">
    <nc r="E305">
      <f>E306</f>
    </nc>
  </rcc>
  <rcc rId="330" sId="1">
    <nc r="F305">
      <f>F306</f>
    </nc>
  </rcc>
  <rcc rId="331" sId="1">
    <nc r="G305">
      <f>G306</f>
    </nc>
  </rcc>
  <rcc rId="332" sId="1" numFmtId="4">
    <nc r="E306">
      <v>501.6</v>
    </nc>
  </rcc>
  <rcc rId="333" sId="1" numFmtId="4">
    <nc r="F306">
      <v>0</v>
    </nc>
  </rcc>
  <rcc rId="334" sId="1" numFmtId="4">
    <nc r="G306">
      <v>0</v>
    </nc>
  </rcc>
  <rcc rId="335" sId="1">
    <oc r="E296">
      <f>E297+E303+E299+E301+E307</f>
    </oc>
    <nc r="E296">
      <f>E297+E303+E299+E301+E307+E305</f>
    </nc>
  </rcc>
  <rcc rId="336" sId="1">
    <oc r="F296">
      <f>F297+F303+F299+F301+F307</f>
    </oc>
    <nc r="F296">
      <f>F297+F303+F299+F301+F307+F305</f>
    </nc>
  </rcc>
  <rcc rId="337" sId="1">
    <oc r="G296">
      <f>G297+G303+G299+G301+G307</f>
    </oc>
    <nc r="G296">
      <f>G297+G303+G299+G301+G307+G305</f>
    </nc>
  </rcc>
  <rrc rId="338" sId="1" ref="A384:XFD387" action="insertRow"/>
  <rcc rId="339" sId="1" odxf="1" s="1" dxf="1">
    <nc r="A384" t="inlineStr">
      <is>
        <t>Расходы, направленные на модернизацию коммунальной инфраструктуры (Выполнение работ по замене конвективной части котла ДКВР-10/13 в котельной, расположенной по адресу: г. Благовещенск, ул. Пограничная, д. 183)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340" sId="1" odxf="1" s="1" dxf="1">
    <nc r="A385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1" formatCode="0"/>
    </ndxf>
  </rcc>
  <rcc rId="341" sId="1" odxf="1" s="1" dxf="1">
    <nc r="A386" t="inlineStr">
      <is>
        <t>Расходы, направленные на модернизацию коммунальной инфраструктуры (Замена водоподогревателей в здании муниципальной котельной 74 квартала)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342" sId="1" odxf="1" s="1" dxf="1">
    <nc r="A387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1" formatCode="0"/>
    </ndxf>
  </rcc>
  <rcc rId="343" sId="1">
    <nc r="B384" t="inlineStr">
      <is>
        <t>0502</t>
      </is>
    </nc>
  </rcc>
  <rcc rId="344" sId="1">
    <nc r="C384" t="inlineStr">
      <is>
        <t>03 2 01 S7424</t>
      </is>
    </nc>
  </rcc>
  <rcc rId="345" sId="1">
    <nc r="B385" t="inlineStr">
      <is>
        <t>0502</t>
      </is>
    </nc>
  </rcc>
  <rcc rId="346" sId="1">
    <nc r="C385" t="inlineStr">
      <is>
        <t>03 2 01 S7424</t>
      </is>
    </nc>
  </rcc>
  <rcc rId="347" sId="1">
    <nc r="D385" t="inlineStr">
      <is>
        <t>200</t>
      </is>
    </nc>
  </rcc>
  <rcc rId="348" sId="1">
    <nc r="B386" t="inlineStr">
      <is>
        <t>0502</t>
      </is>
    </nc>
  </rcc>
  <rcc rId="349" sId="1">
    <nc r="C386" t="inlineStr">
      <is>
        <t>03 2 01 S7425</t>
      </is>
    </nc>
  </rcc>
  <rcc rId="350" sId="1">
    <nc r="B387" t="inlineStr">
      <is>
        <t>0502</t>
      </is>
    </nc>
  </rcc>
  <rcc rId="351" sId="1">
    <nc r="C387" t="inlineStr">
      <is>
        <t>03 2 01 S7425</t>
      </is>
    </nc>
  </rcc>
  <rcc rId="352" sId="1">
    <nc r="D387" t="inlineStr">
      <is>
        <t>200</t>
      </is>
    </nc>
  </rcc>
  <rfmt sheetId="1" sqref="A384:XFD387" start="0" length="2147483647">
    <dxf>
      <font>
        <color rgb="FFC00000"/>
      </font>
    </dxf>
  </rfmt>
  <rcc rId="353" sId="1">
    <nc r="E384">
      <f>E385</f>
    </nc>
  </rcc>
  <rcc rId="354" sId="1">
    <nc r="F384">
      <f>F385</f>
    </nc>
  </rcc>
  <rcc rId="355" sId="1">
    <nc r="G384">
      <f>G385</f>
    </nc>
  </rcc>
  <rcc rId="356" sId="1">
    <nc r="E386">
      <f>E387</f>
    </nc>
  </rcc>
  <rcc rId="357" sId="1">
    <nc r="F386">
      <f>F387</f>
    </nc>
  </rcc>
  <rcc rId="358" sId="1">
    <nc r="G386">
      <f>G387</f>
    </nc>
  </rcc>
  <rcc rId="359" sId="1">
    <nc r="E385">
      <f>498.9+7815.7</f>
    </nc>
  </rcc>
  <rcc rId="360" sId="1" numFmtId="4">
    <nc r="F385">
      <v>0</v>
    </nc>
  </rcc>
  <rcc rId="361" sId="1" numFmtId="4">
    <nc r="G385">
      <v>0</v>
    </nc>
  </rcc>
  <rcc rId="362" sId="1">
    <nc r="E387">
      <f>1118.2+17518.5</f>
    </nc>
  </rcc>
  <rrc rId="363" sId="1" ref="A388:XFD389" action="insertRow"/>
  <rcc rId="364" sId="1" odxf="1" dxf="1">
    <nc r="A388" t="inlineStr">
      <is>
        <t>Расходы, направленные на модернизацию коммунальной инфраструктуры (Ремонт котла ДКВР-10/13 № 3 в котельной 101 квартала г. Благовещенск)</t>
      </is>
    </nc>
    <odxf>
      <font>
        <color rgb="FFC00000"/>
        <family val="1"/>
      </font>
      <numFmt numFmtId="1" formatCode="0"/>
    </odxf>
    <ndxf>
      <font>
        <color auto="1"/>
        <family val="1"/>
      </font>
      <numFmt numFmtId="0" formatCode="General"/>
    </ndxf>
  </rcc>
  <rcc rId="365" sId="1" odxf="1" dxf="1">
    <nc r="A389" t="inlineStr">
      <is>
        <t>Закупка товаров, работ и услуг для обеспечения государственных (муниципальных) нужд</t>
      </is>
    </nc>
    <odxf>
      <font>
        <color rgb="FFC00000"/>
        <family val="1"/>
      </font>
    </odxf>
    <ndxf>
      <font>
        <color auto="1"/>
        <family val="1"/>
      </font>
    </ndxf>
  </rcc>
  <rcc rId="366" sId="1" odxf="1" dxf="1">
    <nc r="B388" t="inlineStr">
      <is>
        <t>0502</t>
      </is>
    </nc>
    <odxf>
      <font>
        <sz val="12"/>
        <color rgb="FFC00000"/>
        <name val="Times New Roman"/>
        <family val="1"/>
      </font>
    </odxf>
    <ndxf>
      <font>
        <sz val="12"/>
        <color rgb="FFC00000"/>
        <name val="Times New Roman"/>
        <family val="1"/>
      </font>
    </ndxf>
  </rcc>
  <rcc rId="367" sId="1" odxf="1" dxf="1">
    <nc r="C388" t="inlineStr">
      <is>
        <t>03 2 01 S7426</t>
      </is>
    </nc>
    <odxf>
      <font>
        <sz val="12"/>
        <color rgb="FFC00000"/>
        <name val="Times New Roman"/>
        <family val="1"/>
      </font>
    </odxf>
    <ndxf>
      <font>
        <sz val="12"/>
        <color rgb="FFC00000"/>
        <name val="Times New Roman"/>
        <family val="1"/>
      </font>
    </ndxf>
  </rcc>
  <rfmt sheetId="1" sqref="D388" start="0" length="0">
    <dxf>
      <font>
        <sz val="12"/>
        <color rgb="FFC00000"/>
        <name val="Times New Roman"/>
        <family val="1"/>
      </font>
    </dxf>
  </rfmt>
  <rcc rId="368" sId="1" odxf="1" dxf="1">
    <nc r="B389" t="inlineStr">
      <is>
        <t>0502</t>
      </is>
    </nc>
    <odxf>
      <font>
        <sz val="12"/>
        <color rgb="FFC00000"/>
        <name val="Times New Roman"/>
        <family val="1"/>
      </font>
    </odxf>
    <ndxf>
      <font>
        <sz val="12"/>
        <color rgb="FFC00000"/>
        <name val="Times New Roman"/>
        <family val="1"/>
      </font>
    </ndxf>
  </rcc>
  <rcc rId="369" sId="1" odxf="1" dxf="1">
    <nc r="C389" t="inlineStr">
      <is>
        <t>03 2 01 S7426</t>
      </is>
    </nc>
    <odxf>
      <font>
        <sz val="12"/>
        <color rgb="FFC00000"/>
        <name val="Times New Roman"/>
        <family val="1"/>
      </font>
    </odxf>
    <ndxf>
      <font>
        <sz val="12"/>
        <color rgb="FFC00000"/>
        <name val="Times New Roman"/>
        <family val="1"/>
      </font>
    </ndxf>
  </rcc>
  <rcc rId="370" sId="1" odxf="1" dxf="1">
    <nc r="D389" t="inlineStr">
      <is>
        <t>200</t>
      </is>
    </nc>
    <odxf>
      <font>
        <sz val="12"/>
        <color rgb="FFC00000"/>
        <name val="Times New Roman"/>
        <family val="1"/>
      </font>
    </odxf>
    <ndxf>
      <font>
        <sz val="12"/>
        <color rgb="FFC00000"/>
        <name val="Times New Roman"/>
        <family val="1"/>
      </font>
    </ndxf>
  </rcc>
  <rfmt sheetId="1" sqref="A388:XFD389" start="0" length="2147483647">
    <dxf>
      <font>
        <color rgb="FFC00000"/>
      </font>
    </dxf>
  </rfmt>
  <rcc rId="371" sId="1">
    <nc r="E388">
      <f>E389</f>
    </nc>
  </rcc>
  <rcc rId="372" sId="1">
    <nc r="F388">
      <f>F389</f>
    </nc>
  </rcc>
  <rcc rId="373" sId="1">
    <nc r="G388">
      <f>G389</f>
    </nc>
  </rcc>
  <rcc rId="374" sId="1" numFmtId="4">
    <nc r="F387">
      <v>0</v>
    </nc>
  </rcc>
  <rcc rId="375" sId="1" numFmtId="4">
    <nc r="G387">
      <v>0</v>
    </nc>
  </rcc>
  <rcc rId="376" sId="1" numFmtId="4">
    <nc r="F389">
      <v>0</v>
    </nc>
  </rcc>
  <rcc rId="377" sId="1" numFmtId="4">
    <nc r="G389">
      <v>0</v>
    </nc>
  </rcc>
  <rcc rId="378" sId="1" numFmtId="4">
    <nc r="E389">
      <f>1338.2+20964.3</f>
    </nc>
  </rcc>
  <rcc rId="379" sId="1">
    <oc r="E323">
      <f>E324+E326+E328+E330+E338+E340+E342+E344+E346+E332+E336+E348+E350+E352+E354+E356+E358+E334+E360+E362+E364+E366+E368+E370+E372+E374+E376+E378+E380+E382+E390</f>
    </oc>
    <nc r="E323">
      <f>E324+E326+E328+E330+E338+E340+E342+E344+E346+E332+E336+E348+E350+E352+E354+E356+E358+E334+E360+E362+E364+E366+E368+E370+E372+E374+E376+E378+E380+E382+E390+E384+E386+E388</f>
    </nc>
  </rcc>
  <rcc rId="380" sId="1">
    <oc r="F323">
      <f>F324+F326+F328+F330+F338+F340+F342+F344+F346+F332+F336+F348+F350+F352+F354+F356+F358+F334+F360+F362+F364+F366+F368+F370+F372+F374+F376+F378+F380+F382+F390</f>
    </oc>
    <nc r="F323">
      <f>F324+F326+F328+F330+F338+F340+F342+F344+F346+F332+F336+F348+F350+F352+F354+F356+F358+F334+F360+F362+F364+F366+F368+F370+F372+F374+F376+F378+F380+F382+F390+F384+F386+F388</f>
    </nc>
  </rcc>
  <rcc rId="381" sId="1">
    <oc r="G323">
      <f>G324+G326+G328+G330+G338+G340+G342+G344+G346+G332+G336+G348+G350+G352+G354+G356+G358+G334+G360+G362+G364+G366+G368+G370+G372+G374+G376+G378+G380+G382+G390</f>
    </oc>
    <nc r="G323">
      <f>G324+G326+G328+G330+G338+G340+G342+G344+G346+G332+G336+G348+G350+G352+G354+G356+G358+G334+G360+G362+G364+G366+G368+G370+G372+G374+G376+G378+G380+G382+G390+G384+G386+G388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2" sId="1" numFmtId="4">
    <oc r="E459">
      <v>350</v>
    </oc>
    <nc r="E459">
      <f>350-17.5</f>
    </nc>
  </rcc>
  <rcc rId="383" sId="1" numFmtId="4">
    <oc r="E461">
      <v>300</v>
    </oc>
    <nc r="E461">
      <f>300-51</f>
    </nc>
  </rcc>
  <rcc rId="384" sId="1">
    <oc r="E481">
      <f>5367.9+3381.8</f>
    </oc>
    <nc r="E481">
      <f>5367.9+3381.8-2572.1</f>
    </nc>
  </rcc>
  <rrc rId="385" sId="1" ref="A484:XFD485" action="insertRow"/>
  <rcc rId="386" sId="1">
    <nc r="A484" t="inlineStr">
      <is>
        <t>Перенос шкафа управления освещением МКД по ул. Горького,147</t>
      </is>
    </nc>
  </rcc>
  <rcc rId="387" sId="1">
    <nc r="A485" t="inlineStr">
      <is>
        <t>Закупка товаров, работ и услуг для обеспечения государственных (муниципальных) нужд</t>
      </is>
    </nc>
  </rcc>
  <rcc rId="388" sId="1">
    <nc r="B484" t="inlineStr">
      <is>
        <t>0503</t>
      </is>
    </nc>
  </rcc>
  <rcc rId="389" sId="1">
    <nc r="C484" t="inlineStr">
      <is>
        <t>11 3 01 10910</t>
      </is>
    </nc>
  </rcc>
  <rcc rId="390" sId="1">
    <nc r="B485" t="inlineStr">
      <is>
        <t>0503</t>
      </is>
    </nc>
  </rcc>
  <rcc rId="391" sId="1">
    <nc r="C485" t="inlineStr">
      <is>
        <t>11 3 01 10910</t>
      </is>
    </nc>
  </rcc>
  <rcc rId="392" sId="1">
    <nc r="D485" t="inlineStr">
      <is>
        <t>200</t>
      </is>
    </nc>
  </rcc>
  <rfmt sheetId="1" sqref="A484:XFD485" start="0" length="2147483647">
    <dxf>
      <font>
        <color rgb="FFC00000"/>
      </font>
    </dxf>
  </rfmt>
  <rcc rId="393" sId="1">
    <nc r="E484">
      <f>E485</f>
    </nc>
  </rcc>
  <rcc rId="394" sId="1">
    <nc r="F484">
      <f>F485</f>
    </nc>
  </rcc>
  <rcc rId="395" sId="1">
    <nc r="G484">
      <f>G485</f>
    </nc>
  </rcc>
  <rcc rId="396" sId="1" numFmtId="4">
    <nc r="E485">
      <v>68.5</v>
    </nc>
  </rcc>
  <rcc rId="397" sId="1" numFmtId="4">
    <nc r="F485">
      <v>0</v>
    </nc>
  </rcc>
  <rcc rId="398" sId="1" numFmtId="4">
    <nc r="G485">
      <v>0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9" sId="1">
    <oc r="E450">
      <f>E451+E455+E453+E458+E460+E462+E464+E466+E468+E470+E472+E478+E480+E486+E474+E482+E476</f>
    </oc>
    <nc r="E450">
      <f>E451+E455+E453+E458+E460+E462+E464+E466+E468+E470+E472+E478+E480+E486+E474+E482+E476+E484</f>
    </nc>
  </rcc>
  <rcc rId="400" sId="1">
    <oc r="F450">
      <f>F451+F455+F453+F458+F460+F462+F464+F466+F468+F470+F472+F478+F480+F486+F474+F482+F476</f>
    </oc>
    <nc r="F450">
      <f>F451+F455+F453+F458+F460+F462+F464+F466+F468+F470+F472+F478+F480+F486+F474+F482+F476+F484</f>
    </nc>
  </rcc>
  <rcc rId="401" sId="1">
    <oc r="G450">
      <f>G451+G455+G453+G458+G460+G462+G464+G466+G468+G470+G472+G478+G480+G486+G474+G482+G476</f>
    </oc>
    <nc r="G450">
      <f>G451+G455+G453+G458+G460+G462+G464+G466+G468+G470+G472+G478+G480+G486+G474+G482+G476+G484</f>
    </nc>
  </rc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Rows" hidden="1" oldHidden="1">
    <formula>рпр!$13:$15,рпр!$17:$28,рпр!$30:$46,рпр!$48:$51,рпр!$53:$57,рпр!$59:$61,рпр!$63:$67,рпр!$69:$121,рпр!$124:$140,рпр!$143:$151,рпр!$153:$163,рпр!$165:$258,рпр!$260:$282,рпр!$285:$315,рпр!$317:$410,рпр!$412:$487,рпр!$489:$508,рпр!$511:$515,рпр!$518:$538,рпр!$540:$603,рпр!$605:$626,рпр!$628:$644,рпр!$646:$690,рпр!$693:$711,рпр!$713:$734,рпр!$737:$739,рпр!$741:$754,рпр!$756:$785,рпр!$788:$792,рпр!$794:$812,рпр!$814:$834,рпр!$837:$839,рпр!$842:$844</formula>
  </rdn>
  <rdn rId="0" localSheetId="1" customView="1" name="Z_2A135292_D5EB_4A8D_A93E_D0B24F2543E0_.wvu.FilterData" hidden="1" oldHidden="1">
    <formula>рпр!$A$8:$G$844</formula>
    <oldFormula>рпр!$A$8:$G$844</oldFormula>
  </rdn>
  <rcv guid="{2A135292-D5EB-4A8D-A93E-D0B24F2543E0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" sId="1" numFmtId="4">
    <oc r="E71">
      <v>10</v>
    </oc>
    <nc r="E71">
      <f>10-10</f>
    </nc>
  </rcc>
  <rcc rId="6" sId="1">
    <oc r="E73">
      <f>171071.1+4515.4</f>
    </oc>
    <nc r="E73">
      <f>171071.1+4515.4+26.4</f>
    </nc>
  </rcc>
  <rcc rId="7" sId="1">
    <oc r="E74">
      <f>49178-10+193.7+226.3+1127+46513.3</f>
    </oc>
    <nc r="E74">
      <f>49178-10+193.7+226.3+1127+46513.3-256.1+1000</f>
    </nc>
  </rcc>
  <rcc rId="8" sId="1">
    <oc r="E83">
      <f>13025.6+210.5-2545+10049.6-1200+30.3+61</f>
    </oc>
    <nc r="E83">
      <f>13025.6+210.5-2545+10049.6-1200+30.3+61-1052.5</f>
    </nc>
  </rcc>
  <rcc rId="9" sId="1" numFmtId="4">
    <oc r="E85">
      <v>115</v>
    </oc>
    <nc r="E85">
      <f>115+45</f>
    </nc>
  </rcc>
  <rcc rId="10" sId="1">
    <oc r="E87">
      <f>2430+1200</f>
    </oc>
    <nc r="E87">
      <f>2430+1200+1030</f>
    </nc>
  </rcc>
  <rcc rId="11" sId="1">
    <oc r="E113">
      <f>230.1+988.8</f>
    </oc>
    <nc r="E113">
      <f>230.1+988.8+2558</f>
    </nc>
  </rcc>
  <rcc rId="12" sId="1" numFmtId="4">
    <oc r="F78">
      <v>30000</v>
    </oc>
    <nc r="F78">
      <f>30000-354.3</f>
    </nc>
  </rcc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рпр!$A$8:$G$804</formula>
    <oldFormula>рпр!$A$8:$G$804</oldFormula>
  </rdn>
  <rcv guid="{AA62EF5A-85DE-4BC8-95D5-4F54CE8CF3D6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48" start="0" length="2147483647">
    <dxf>
      <font>
        <b val="0"/>
      </font>
    </dxf>
  </rfmt>
  <rcc rId="405" sId="1">
    <oc r="E164">
      <f>E165</f>
    </oc>
    <nc r="E164">
      <f>E165+E254</f>
    </nc>
  </rcc>
  <rcc rId="406" sId="1" odxf="1" dxf="1">
    <oc r="F164">
      <f>F165</f>
    </oc>
    <nc r="F164">
      <f>F165+F254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07" sId="1" odxf="1" dxf="1">
    <oc r="G164">
      <f>G165</f>
    </oc>
    <nc r="G164">
      <f>G165+G254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08" sId="1">
    <oc r="E169">
      <f>700000-525200</f>
    </oc>
    <nc r="E169">
      <f>700000-525200-174800</f>
    </nc>
  </rcc>
  <rcc rId="409" sId="1">
    <oc r="E177">
      <v>55666.400000000001</v>
    </oc>
    <nc r="E177">
      <f>55666.4-55666.4</f>
    </nc>
  </rcc>
  <rcc rId="410" sId="1">
    <oc r="E165">
      <f>E166+E214+E248+E254</f>
    </oc>
    <nc r="E165">
      <f>E166+E214+E248</f>
    </nc>
  </rcc>
  <rdn rId="0" localSheetId="1" customView="1" name="Z_2A135292_D5EB_4A8D_A93E_D0B24F2543E0_.wvu.Rows" hidden="1" oldHidden="1">
    <oldFormula>рпр!$13:$15,рпр!$17:$28,рпр!$30:$46,рпр!$48:$51,рпр!$53:$57,рпр!$59:$61,рпр!$63:$67,рпр!$69:$121,рпр!$124:$140,рпр!$143:$151,рпр!$153:$163,рпр!$165:$258,рпр!$260:$282,рпр!$285:$315,рпр!$317:$410,рпр!$412:$487,рпр!$489:$508,рпр!$511:$515,рпр!$518:$538,рпр!$540:$603,рпр!$605:$626,рпр!$628:$644,рпр!$646:$690,рпр!$693:$711,рпр!$713:$734,рпр!$737:$739,рпр!$741:$754,рпр!$756:$785,рпр!$788:$792,рпр!$794:$812,рпр!$814:$834,рпр!$837:$839,рпр!$842:$844</oldFormula>
  </rdn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FilterData" hidden="1" oldHidden="1">
    <formula>рпр!$A$8:$G$844</formula>
    <oldFormula>рпр!$A$8:$G$844</oldFormula>
  </rdn>
  <rcv guid="{2A135292-D5EB-4A8D-A93E-D0B24F2543E0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4" sId="1" ref="A276:XFD277" action="insertRow"/>
  <rcc rId="415" sId="1" odxf="1" s="1" dxf="1">
    <nc r="A276" t="inlineStr">
      <is>
        <t>Внесение в ЕГРН сведений о границах городского округа, населенных пунктах в его составе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alignment vertical="top"/>
    </ndxf>
  </rcc>
  <rcc rId="416" sId="1" odxf="1" s="1" dxf="1">
    <nc r="A277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alignment vertical="top"/>
    </ndxf>
  </rcc>
  <rfmt sheetId="1" sqref="A276:XFD277" start="0" length="2147483647">
    <dxf>
      <font>
        <color rgb="FFC00000"/>
      </font>
    </dxf>
  </rfmt>
  <rcc rId="417" sId="1" odxf="1" s="1" dxf="1">
    <nc r="B276" t="inlineStr">
      <is>
        <t>0412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C00000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418" sId="1" odxf="1" s="1" dxf="1">
    <nc r="C276" t="inlineStr">
      <is>
        <t>10 2 01 10260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C00000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276" start="0" length="0">
    <dxf>
      <font>
        <sz val="12"/>
        <color auto="1"/>
        <name val="Times New Roman"/>
        <family val="1"/>
        <charset val="204"/>
        <scheme val="none"/>
      </font>
    </dxf>
  </rfmt>
  <rcc rId="419" sId="1" odxf="1" s="1" dxf="1">
    <nc r="B277" t="inlineStr">
      <is>
        <t>0412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C00000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420" sId="1" odxf="1" s="1" dxf="1">
    <nc r="C277" t="inlineStr">
      <is>
        <t>10 2 01 10260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C00000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421" sId="1" odxf="1" s="1" dxf="1" numFmtId="30">
    <nc r="D277">
      <v>200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C00000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qref="A276:XFD277" start="0" length="2147483647">
    <dxf>
      <font>
        <color rgb="FFC00000"/>
      </font>
    </dxf>
  </rfmt>
  <rcc rId="422" sId="1">
    <nc r="E276">
      <f>E277</f>
    </nc>
  </rcc>
  <rcc rId="423" sId="1">
    <nc r="F276">
      <f>F277</f>
    </nc>
  </rcc>
  <rcc rId="424" sId="1">
    <nc r="G276">
      <f>G277</f>
    </nc>
  </rcc>
  <rcc rId="425" sId="1" numFmtId="4">
    <nc r="E277">
      <v>448.9</v>
    </nc>
  </rcc>
  <rcc rId="426" sId="1">
    <oc r="F273">
      <f>F274+F278</f>
    </oc>
    <nc r="F273">
      <f>F274+F278+F276</f>
    </nc>
  </rcc>
  <rcc rId="427" sId="1">
    <oc r="G273">
      <f>G274+G278</f>
    </oc>
    <nc r="G273">
      <f>G274+G278+G276</f>
    </nc>
  </rcc>
  <rcc rId="428" sId="1">
    <oc r="E279">
      <f>2097.9-1597.9</f>
    </oc>
    <nc r="E279">
      <f>2097.9-1597.9-500</f>
    </nc>
  </rcc>
  <rrc rId="429" sId="1" ref="A280:XFD281" action="insertRow"/>
  <rcc rId="430" sId="1" odxf="1" s="1" dxf="1">
    <nc r="A280" t="inlineStr">
      <is>
        <t>Проведение комплексных кадастровых работ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alignment vertical="top"/>
    </ndxf>
  </rcc>
  <rcc rId="431" sId="1" odxf="1" s="1" dxf="1">
    <nc r="A281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alignment vertical="top"/>
    </ndxf>
  </rcc>
  <rcc rId="432" sId="1" odxf="1" s="1" dxf="1">
    <nc r="B280" t="inlineStr">
      <is>
        <t>0412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433" sId="1" odxf="1" s="1" dxf="1">
    <nc r="C280" t="inlineStr">
      <is>
        <t>10 2 01 S0440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280" start="0" length="0">
    <dxf>
      <font>
        <sz val="12"/>
        <color auto="1"/>
        <name val="Times New Roman"/>
        <family val="1"/>
        <charset val="204"/>
        <scheme val="none"/>
      </font>
    </dxf>
  </rfmt>
  <rcc rId="434" sId="1" odxf="1" s="1" dxf="1">
    <nc r="B281" t="inlineStr">
      <is>
        <t>0412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435" sId="1" odxf="1" s="1" dxf="1">
    <nc r="C281" t="inlineStr">
      <is>
        <t>10 2 01 S0440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436" sId="1" odxf="1" s="1" dxf="1" numFmtId="30">
    <nc r="D281">
      <v>200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qref="A280:XFD281" start="0" length="2147483647">
    <dxf>
      <font>
        <color rgb="FFC00000"/>
      </font>
    </dxf>
  </rfmt>
  <rcc rId="437" sId="1">
    <nc r="E280">
      <f>E281</f>
    </nc>
  </rcc>
  <rcc rId="438" sId="1">
    <nc r="F280">
      <f>F281</f>
    </nc>
  </rcc>
  <rcc rId="439" sId="1">
    <nc r="G280">
      <f>G281</f>
    </nc>
  </rcc>
  <rcc rId="440" sId="1">
    <nc r="E281">
      <f>51.1+800</f>
    </nc>
  </rcc>
  <rcc rId="441" sId="1" numFmtId="4">
    <oc r="E284">
      <v>9500</v>
    </oc>
    <nc r="E284">
      <f>9500-5978.8</f>
    </nc>
  </rcc>
  <rcc rId="442" sId="1">
    <oc r="E286">
      <f>19956-2022.2</f>
    </oc>
    <nc r="E286">
      <f>19956-2022.2+5978.8</f>
    </nc>
  </rcc>
  <rcc rId="443" sId="1">
    <oc r="E273">
      <f>E274+E278</f>
    </oc>
    <nc r="E273">
      <f>E274+E278+E276+E280</f>
    </nc>
  </rc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Rows" hidden="1" oldHidden="1">
    <formula>рпр!$12:$121,рпр!$123:$140,рпр!$142:$286,рпр!$288:$512,рпр!$514:$519,рпр!$521:$694,рпр!$696:$738,рпр!$740:$789,рпр!$791:$838,рпр!$840:$843,рпр!$845:$848</formula>
  </rdn>
  <rdn rId="0" localSheetId="1" customView="1" name="Z_2A135292_D5EB_4A8D_A93E_D0B24F2543E0_.wvu.FilterData" hidden="1" oldHidden="1">
    <formula>рпр!$A$8:$G$848</formula>
    <oldFormula>рпр!$A$8:$G$848</oldFormula>
  </rdn>
  <rcv guid="{2A135292-D5EB-4A8D-A93E-D0B24F2543E0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" sId="1" numFmtId="4">
    <oc r="G512">
      <v>23638</v>
    </oc>
    <nc r="G512">
      <f>23638-5</f>
    </nc>
  </rcc>
  <rcv guid="{1CA6CCC9-64EF-4CA9-9C9C-1E572976D134}" action="delete"/>
  <rdn rId="0" localSheetId="1" customView="1" name="Z_1CA6CCC9_64EF_4CA9_9C9C_1E572976D134_.wvu.PrintTitles" hidden="1" oldHidden="1">
    <formula>рпр!$9:$10</formula>
    <oldFormula>рпр!$9:$10</oldFormula>
  </rdn>
  <rdn rId="0" localSheetId="1" customView="1" name="Z_1CA6CCC9_64EF_4CA9_9C9C_1E572976D134_.wvu.FilterData" hidden="1" oldHidden="1">
    <formula>рпр!$A$8:$G$848</formula>
    <oldFormula>рпр!$A$8:$G$848</oldFormula>
  </rdn>
  <rcv guid="{1CA6CCC9-64EF-4CA9-9C9C-1E572976D134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0" sId="1">
    <oc r="F452">
      <f>1276.6+20000</f>
    </oc>
    <nc r="F452">
      <f>1276.6+20000+5489.4+86000</f>
    </nc>
  </rcc>
  <rcc rId="451" sId="1">
    <oc r="G452">
      <f>1276.6+20000</f>
    </oc>
    <nc r="G452">
      <f>1276.6+20000+5489.4+86000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2" sId="1">
    <oc r="F343">
      <f>99224-54064+16748.5+1658102.3-8125.7</f>
    </oc>
    <nc r="F343">
      <f>99224-54064+16748.5+1658102.3-8125.7-13860.4</f>
    </nc>
  </rcc>
  <rcc rId="453" sId="1" numFmtId="4">
    <nc r="F852">
      <v>14106756.9</v>
    </nc>
  </rcc>
  <rcc rId="454" sId="1" numFmtId="4">
    <nc r="G852">
      <v>12902176.399999999</v>
    </nc>
  </rcc>
  <rcc rId="455" sId="1" numFmtId="4">
    <nc r="E852">
      <v>14515364.6</v>
    </nc>
  </rcc>
  <rcc rId="456" sId="1">
    <nc r="E854">
      <f>E852-E850</f>
    </nc>
  </rcc>
  <rcc rId="457" sId="1">
    <nc r="F854">
      <f>F852-F850</f>
    </nc>
  </rcc>
  <rcc rId="458" sId="1">
    <nc r="G854">
      <f>G852-G850</f>
    </nc>
  </rcc>
  <rcc rId="459" sId="1">
    <oc r="F33">
      <f>19369.3+35500</f>
    </oc>
    <nc r="F33">
      <f>19369.3+35500+6000</f>
    </nc>
  </rcc>
  <rcv guid="{1CA6CCC9-64EF-4CA9-9C9C-1E572976D134}" action="delete"/>
  <rdn rId="0" localSheetId="1" customView="1" name="Z_1CA6CCC9_64EF_4CA9_9C9C_1E572976D134_.wvu.PrintTitles" hidden="1" oldHidden="1">
    <formula>рпр!$9:$10</formula>
    <oldFormula>рпр!$9:$10</oldFormula>
  </rdn>
  <rdn rId="0" localSheetId="1" customView="1" name="Z_1CA6CCC9_64EF_4CA9_9C9C_1E572976D134_.wvu.Rows" hidden="1" oldHidden="1">
    <formula>рпр!$17:$28,рпр!$48:$51,рпр!$53:$57,рпр!$59:$61,рпр!$63:$67,рпр!$69:$121,рпр!$124:$140,рпр!$143:$151,рпр!$153:$163,рпр!$165:$258,рпр!$260:$286,рпр!$289:$319,рпр!$321:$414,рпр!$416:$491,рпр!$493:$512,рпр!$515:$519,рпр!$522:$542,рпр!$544:$607,рпр!$609:$630,рпр!$632:$648,рпр!$650:$694,рпр!$697:$715,рпр!$717:$738,рпр!$741:$743,рпр!$745:$758,рпр!$760:$789,рпр!$792:$796,рпр!$798:$816,рпр!$818:$838,рпр!$841:$843,рпр!$846:$848</formula>
  </rdn>
  <rdn rId="0" localSheetId="1" customView="1" name="Z_1CA6CCC9_64EF_4CA9_9C9C_1E572976D134_.wvu.FilterData" hidden="1" oldHidden="1">
    <formula>рпр!$A$8:$G$848</formula>
    <oldFormula>рпр!$A$8:$G$848</oldFormula>
  </rdn>
  <rcv guid="{1CA6CCC9-64EF-4CA9-9C9C-1E572976D134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CA6CCC9-64EF-4CA9-9C9C-1E572976D134}" action="delete"/>
  <rdn rId="0" localSheetId="1" customView="1" name="Z_1CA6CCC9_64EF_4CA9_9C9C_1E572976D134_.wvu.PrintTitles" hidden="1" oldHidden="1">
    <formula>рпр!$9:$10</formula>
    <oldFormula>рпр!$9:$10</oldFormula>
  </rdn>
  <rdn rId="0" localSheetId="1" customView="1" name="Z_1CA6CCC9_64EF_4CA9_9C9C_1E572976D134_.wvu.Rows" hidden="1" oldHidden="1">
    <formula>рпр!$12:$121,рпр!$123:$140,рпр!$143:$151,рпр!$153:$163,рпр!$165:$258,рпр!$260:$286,рпр!$289:$319,рпр!$321:$414,рпр!$416:$491,рпр!$493:$512,рпр!$515:$519,рпр!$522:$542,рпр!$544:$607,рпр!$609:$630,рпр!$632:$648,рпр!$650:$694,рпр!$697:$715,рпр!$717:$738,рпр!$741:$743,рпр!$745:$758,рпр!$760:$789,рпр!$792:$796,рпр!$798:$816,рпр!$818:$838,рпр!$841:$843,рпр!$846:$848</formula>
    <oldFormula>рпр!$17:$28,рпр!$48:$51,рпр!$53:$57,рпр!$59:$61,рпр!$63:$67,рпр!$69:$121,рпр!$124:$140,рпр!$143:$151,рпр!$153:$163,рпр!$165:$258,рпр!$260:$286,рпр!$289:$319,рпр!$321:$414,рпр!$416:$491,рпр!$493:$512,рпр!$515:$519,рпр!$522:$542,рпр!$544:$607,рпр!$609:$630,рпр!$632:$648,рпр!$650:$694,рпр!$697:$715,рпр!$717:$738,рпр!$741:$743,рпр!$745:$758,рпр!$760:$789,рпр!$792:$796,рпр!$798:$816,рпр!$818:$838,рпр!$841:$843,рпр!$846:$848</oldFormula>
  </rdn>
  <rdn rId="0" localSheetId="1" customView="1" name="Z_1CA6CCC9_64EF_4CA9_9C9C_1E572976D134_.wvu.FilterData" hidden="1" oldHidden="1">
    <formula>рпр!$A$8:$G$848</formula>
    <oldFormula>рпр!$A$8:$G$848</oldFormula>
  </rdn>
  <rcv guid="{1CA6CCC9-64EF-4CA9-9C9C-1E572976D134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6" sId="1">
    <oc r="F169">
      <f>500000-240000</f>
    </oc>
    <nc r="F169">
      <f>500000-240000-260000</f>
    </nc>
  </rcc>
  <rfmt sheetId="1" sqref="A168:A169">
    <dxf>
      <fill>
        <patternFill patternType="solid">
          <bgColor theme="9" tint="0.59999389629810485"/>
        </patternFill>
      </fill>
    </dxf>
  </rfmt>
  <rcc rId="467" sId="1" numFmtId="4">
    <oc r="F177">
      <v>0</v>
    </oc>
    <nc r="F177">
      <v>55666.400000000001</v>
    </nc>
  </rcc>
  <rfmt sheetId="1" sqref="E179">
    <dxf>
      <fill>
        <patternFill>
          <bgColor theme="0"/>
        </patternFill>
      </fill>
    </dxf>
  </rfmt>
  <rcc rId="468" sId="1" numFmtId="4">
    <oc r="F179">
      <v>0</v>
    </oc>
    <nc r="F179">
      <v>20767.599999999999</v>
    </nc>
  </rcc>
  <rcc rId="469" sId="1" numFmtId="4">
    <oc r="F181">
      <v>0</v>
    </oc>
    <nc r="F181">
      <v>17513.400000000001</v>
    </nc>
  </rcc>
  <rcc rId="470" sId="1" numFmtId="4">
    <oc r="F199">
      <v>38761.300000000003</v>
    </oc>
    <nc r="F199">
      <f>38761.3+1222.5</f>
    </nc>
  </rcc>
  <rcc rId="471" sId="1" numFmtId="4">
    <oc r="F201">
      <v>63491.4</v>
    </oc>
    <nc r="F201">
      <f>63491.4+2149.3</f>
    </nc>
  </rcc>
  <rcc rId="472" sId="1" numFmtId="4">
    <oc r="F203">
      <v>51556.9</v>
    </oc>
    <nc r="F203">
      <f>51556.9+1628.1</f>
    </nc>
  </rcc>
  <rcc rId="473" sId="1" numFmtId="4">
    <oc r="F205">
      <v>39886.5</v>
    </oc>
    <nc r="F205">
      <f>39886.5+1324.3</f>
    </nc>
  </rcc>
  <rcc rId="474" sId="1" numFmtId="4">
    <oc r="F207">
      <v>37139.800000000003</v>
    </oc>
    <nc r="F207">
      <f>37139.8-37139.8</f>
    </nc>
  </rcc>
  <rfmt sheetId="1" sqref="A207">
    <dxf>
      <fill>
        <patternFill patternType="solid">
          <bgColor rgb="FFFFFF00"/>
        </patternFill>
      </fill>
    </dxf>
  </rfmt>
  <rcc rId="475" sId="1" numFmtId="4">
    <oc r="F209">
      <v>57925</v>
    </oc>
    <nc r="F209">
      <f>57925-3166.3</f>
    </nc>
  </rcc>
  <rcc rId="476" sId="1" numFmtId="4">
    <nc r="F211">
      <v>228418.7</v>
    </nc>
  </rcc>
  <rrc rId="477" sId="1" ref="A224:XFD224" action="insertRow">
    <undo index="65535" exp="area" ref3D="1" dr="$A$845:$XFD$848" dn="Z_2A135292_D5EB_4A8D_A93E_D0B24F2543E0_.wvu.Rows" sId="1"/>
    <undo index="65535" exp="area" ref3D="1" dr="$A$840:$XFD$843" dn="Z_2A135292_D5EB_4A8D_A93E_D0B24F2543E0_.wvu.Rows" sId="1"/>
    <undo index="65535" exp="area" ref3D="1" dr="$A$791:$XFD$838" dn="Z_2A135292_D5EB_4A8D_A93E_D0B24F2543E0_.wvu.Rows" sId="1"/>
    <undo index="65535" exp="area" ref3D="1" dr="$A$740:$XFD$789" dn="Z_2A135292_D5EB_4A8D_A93E_D0B24F2543E0_.wvu.Rows" sId="1"/>
    <undo index="65535" exp="area" ref3D="1" dr="$A$696:$XFD$738" dn="Z_2A135292_D5EB_4A8D_A93E_D0B24F2543E0_.wvu.Rows" sId="1"/>
    <undo index="65535" exp="area" ref3D="1" dr="$A$521:$XFD$694" dn="Z_2A135292_D5EB_4A8D_A93E_D0B24F2543E0_.wvu.Rows" sId="1"/>
    <undo index="65535" exp="area" ref3D="1" dr="$A$514:$XFD$519" dn="Z_2A135292_D5EB_4A8D_A93E_D0B24F2543E0_.wvu.Rows" sId="1"/>
    <undo index="65535" exp="area" ref3D="1" dr="$A$288:$XFD$512" dn="Z_2A135292_D5EB_4A8D_A93E_D0B24F2543E0_.wvu.Rows" sId="1"/>
    <undo index="65535" exp="area" ref3D="1" dr="$A$142:$XFD$286" dn="Z_2A135292_D5EB_4A8D_A93E_D0B24F2543E0_.wvu.Rows" sId="1"/>
  </rrc>
  <rrc rId="478" sId="1" ref="A224:XFD224" action="insertRow">
    <undo index="65535" exp="area" ref3D="1" dr="$A$846:$XFD$849" dn="Z_2A135292_D5EB_4A8D_A93E_D0B24F2543E0_.wvu.Rows" sId="1"/>
    <undo index="65535" exp="area" ref3D="1" dr="$A$841:$XFD$844" dn="Z_2A135292_D5EB_4A8D_A93E_D0B24F2543E0_.wvu.Rows" sId="1"/>
    <undo index="65535" exp="area" ref3D="1" dr="$A$792:$XFD$839" dn="Z_2A135292_D5EB_4A8D_A93E_D0B24F2543E0_.wvu.Rows" sId="1"/>
    <undo index="65535" exp="area" ref3D="1" dr="$A$741:$XFD$790" dn="Z_2A135292_D5EB_4A8D_A93E_D0B24F2543E0_.wvu.Rows" sId="1"/>
    <undo index="65535" exp="area" ref3D="1" dr="$A$697:$XFD$739" dn="Z_2A135292_D5EB_4A8D_A93E_D0B24F2543E0_.wvu.Rows" sId="1"/>
    <undo index="65535" exp="area" ref3D="1" dr="$A$522:$XFD$695" dn="Z_2A135292_D5EB_4A8D_A93E_D0B24F2543E0_.wvu.Rows" sId="1"/>
    <undo index="65535" exp="area" ref3D="1" dr="$A$515:$XFD$520" dn="Z_2A135292_D5EB_4A8D_A93E_D0B24F2543E0_.wvu.Rows" sId="1"/>
    <undo index="65535" exp="area" ref3D="1" dr="$A$289:$XFD$513" dn="Z_2A135292_D5EB_4A8D_A93E_D0B24F2543E0_.wvu.Rows" sId="1"/>
    <undo index="65535" exp="area" ref3D="1" dr="$A$142:$XFD$287" dn="Z_2A135292_D5EB_4A8D_A93E_D0B24F2543E0_.wvu.Rows" sId="1"/>
  </rrc>
  <rcc rId="479" sId="1" odxf="1" dxf="1">
    <nc r="A224" t="inlineStr">
      <is>
        <t>Устройство парковки по ул. Дьяченко вдоль Храма Ксении Петербургской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480" sId="1" odxf="1" dxf="1">
    <nc r="A225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481" sId="1" odxf="1" dxf="1">
    <nc r="B224" t="inlineStr">
      <is>
        <t>0409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482" sId="1" odxf="1" dxf="1">
    <nc r="C224" t="inlineStr">
      <is>
        <t>02 2 01 9Д007</t>
      </is>
    </nc>
    <odxf>
      <font>
        <sz val="12"/>
        <name val="Times New Roman"/>
        <family val="1"/>
      </font>
      <numFmt numFmtId="1" formatCode="0"/>
      <alignment wrapText="1"/>
    </odxf>
    <ndxf>
      <font>
        <sz val="12"/>
        <name val="Times New Roman"/>
        <family val="1"/>
      </font>
      <numFmt numFmtId="30" formatCode="@"/>
      <alignment wrapText="0"/>
    </ndxf>
  </rcc>
  <rfmt sheetId="1" sqref="D224" start="0" length="0">
    <dxf>
      <font>
        <sz val="12"/>
        <name val="Times New Roman"/>
        <family val="1"/>
      </font>
      <numFmt numFmtId="30" formatCode="@"/>
      <alignment horizontal="center" wrapText="0"/>
    </dxf>
  </rfmt>
  <rcc rId="483" sId="1" odxf="1" dxf="1">
    <nc r="B225" t="inlineStr">
      <is>
        <t>0409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484" sId="1" odxf="1" dxf="1">
    <nc r="C225" t="inlineStr">
      <is>
        <t>02 2 01 9Д007</t>
      </is>
    </nc>
    <odxf>
      <font>
        <sz val="12"/>
        <name val="Times New Roman"/>
        <family val="1"/>
      </font>
      <numFmt numFmtId="1" formatCode="0"/>
      <alignment wrapText="1"/>
    </odxf>
    <ndxf>
      <font>
        <sz val="12"/>
        <name val="Times New Roman"/>
        <family val="1"/>
      </font>
      <numFmt numFmtId="30" formatCode="@"/>
      <alignment wrapText="0"/>
    </ndxf>
  </rcc>
  <rcc rId="485" sId="1" odxf="1" dxf="1">
    <nc r="D225" t="inlineStr">
      <is>
        <t>200</t>
      </is>
    </nc>
    <odxf>
      <font>
        <sz val="12"/>
        <name val="Times New Roman"/>
        <family val="1"/>
      </font>
      <numFmt numFmtId="1" formatCode="0"/>
      <alignment horizontal="left" wrapText="1"/>
    </odxf>
    <ndxf>
      <font>
        <sz val="12"/>
        <name val="Times New Roman"/>
        <family val="1"/>
      </font>
      <numFmt numFmtId="30" formatCode="@"/>
      <alignment horizontal="center" wrapText="0"/>
    </ndxf>
  </rcc>
  <rcc rId="486" sId="1" numFmtId="4">
    <nc r="F225">
      <v>3052.4</v>
    </nc>
  </rcc>
  <rcc rId="487" sId="1">
    <nc r="F224">
      <f>+F225</f>
    </nc>
  </rcc>
  <rcc rId="488" sId="1" numFmtId="4">
    <nc r="E225">
      <v>0</v>
    </nc>
  </rcc>
  <rcc rId="489" sId="1" numFmtId="4">
    <nc r="G225">
      <v>0</v>
    </nc>
  </rcc>
  <rcc rId="490" sId="1">
    <nc r="E224">
      <f>+E225</f>
    </nc>
  </rcc>
  <rcc rId="491" sId="1">
    <nc r="G224">
      <f>+G225</f>
    </nc>
  </rcc>
  <rfmt sheetId="1" s="1" sqref="H224" start="0" length="0">
    <dxf>
      <font>
        <sz val="12"/>
        <color auto="1"/>
        <name val="Times New Roman"/>
        <family val="1"/>
        <scheme val="none"/>
      </font>
      <numFmt numFmtId="164" formatCode="#,##0.0"/>
      <alignment horizontal="center"/>
    </dxf>
  </rfmt>
  <rcc rId="492" sId="1">
    <nc r="F237">
      <f>354.3+5550</f>
    </nc>
  </rcc>
  <rcc rId="493" sId="1">
    <oc r="F239">
      <f>4471.3+70050.8</f>
    </oc>
    <nc r="F239">
      <f>4471.3+70050.8+2134.1+33433.8</f>
    </nc>
  </rcc>
  <rcc rId="494" sId="1">
    <oc r="F241">
      <f>162859.4-4471.3-70050.8</f>
    </oc>
    <nc r="F241">
      <f>162859.4-4471.3-70050.8-3837.2-60115</f>
    </nc>
  </rcc>
  <rcc rId="495" sId="1" numFmtId="4">
    <oc r="F242">
      <v>0</v>
    </oc>
    <nc r="F242">
      <f>1703.1+26681.2</f>
    </nc>
  </rcc>
  <rcc rId="496" sId="1">
    <oc r="F167">
      <f>+F168+F170+F172+F174+F176+F178+F180+F182+F184+F190+F186+F188+F192+F194+F196+F198+F200+F202+F204+F206+F208+F212</f>
    </oc>
    <nc r="F167">
      <f>+F168+F170+F172+F174+F176+F178+F180+F182+F184+F190+F186+F188+F192+F194+F196+F198+F200+F202+F204+F206+F208+F212+F210</f>
    </nc>
  </rcc>
  <rcc rId="497" sId="1">
    <oc r="G167">
      <f>+G168+G170+G172+G174+G176+G178+G180+G182+G184+G190+G186+G188+G192+G194+G196+G198+G200+G202+G204+G206+G208+G212</f>
    </oc>
    <nc r="G167">
      <f>+G168+G170+G172+G174+G176+G178+G180+G182+G184+G190+G186+G188+G192+G194+G196+G198+G200+G202+G204+G206+G208+G212+G210</f>
    </nc>
  </rcc>
  <rcc rId="498" sId="1">
    <oc r="F165">
      <f>F166+F214+F250+F256</f>
    </oc>
    <nc r="F165">
      <f>F166+F214+F250</f>
    </nc>
  </rcc>
  <rcc rId="499" sId="1">
    <oc r="G165">
      <f>G166+G214+G250+G256</f>
    </oc>
    <nc r="G165">
      <f>G166+G214+G250</f>
    </nc>
  </rcc>
  <rcc rId="500" sId="1">
    <oc r="F251">
      <f>F252+F254</f>
    </oc>
    <nc r="F251">
      <f>F252+F254</f>
    </nc>
  </rcc>
  <rcc rId="501" sId="1">
    <oc r="G251">
      <f>G252+G254</f>
    </oc>
    <nc r="G251">
      <f>G252+G254</f>
    </nc>
  </rcc>
  <rcc rId="502" sId="1">
    <oc r="F256">
      <f>+F257</f>
    </oc>
    <nc r="F256">
      <f>+F257</f>
    </nc>
  </rcc>
  <rcc rId="503" sId="1">
    <oc r="G256">
      <f>+G257</f>
    </oc>
    <nc r="G256">
      <f>+G257</f>
    </nc>
  </rcc>
  <rcc rId="504" sId="1">
    <nc r="F257">
      <f>+F258</f>
    </nc>
  </rcc>
  <rcc rId="505" sId="1">
    <nc r="G257">
      <f>+G258</f>
    </nc>
  </rcc>
  <rcc rId="506" sId="1" numFmtId="4">
    <oc r="F223">
      <v>0</v>
    </oc>
    <nc r="F223">
      <v>8371</v>
    </nc>
  </rcc>
  <rcc rId="507" sId="1">
    <oc r="F215">
      <f>F216+F218+F238+F240+F243+F248+F228+F220+F233+F230</f>
    </oc>
    <nc r="F215">
      <f>F216+F218+F238+F240+F243+F248+F228+F220+F233+F230+F222+F236+F226+F245+F224</f>
    </nc>
  </rcc>
  <rcc rId="508" sId="1">
    <oc r="G215">
      <f>G216+G218+G238+G240+G243+G248+G228+G220+G233+G230</f>
    </oc>
    <nc r="G215">
      <f>G216+G218+G238+G240+G243+G248+G228+G220+G233+G230+G222+G236+G226+G245+G224</f>
    </nc>
  </rcc>
  <rcc rId="509" sId="1" numFmtId="4">
    <nc r="G211">
      <v>5</v>
    </nc>
  </rcc>
  <rcc rId="510" sId="1" numFmtId="4">
    <oc r="G239">
      <v>0</v>
    </oc>
    <nc r="G239">
      <f>4145.4+64945.3</f>
    </nc>
  </rcc>
  <rcc rId="511" sId="1">
    <oc r="G241">
      <f>162859.4+714.5+11193.2</f>
    </oc>
    <nc r="G241">
      <f>162859.4+714.5+11193.2-4145.4-64945.3</f>
    </nc>
  </rcc>
  <rcc rId="512" sId="1">
    <oc r="G253">
      <f>273934.3-47683.6</f>
    </oc>
    <nc r="G253">
      <f>273934.3-47683.6-5489.4</f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" sId="1">
    <oc r="F1" t="inlineStr">
      <is>
        <t>Приложение № 3
к решению Благовещенской 
городской Думы</t>
      </is>
    </oc>
    <nc r="F1" t="inlineStr">
      <is>
        <t>Приложение № 2
к решению Благовещенской 
городской Думы</t>
      </is>
    </nc>
  </rcc>
  <rfmt sheetId="1" sqref="A1:XFD1048576" start="0" length="2147483647">
    <dxf>
      <font>
        <color auto="1"/>
      </font>
    </dxf>
  </rfmt>
  <rcc rId="514" sId="1" numFmtId="4">
    <nc r="F80">
      <v>0</v>
    </nc>
  </rcc>
  <rcc rId="515" sId="1">
    <nc r="F79">
      <f>+F80</f>
    </nc>
  </rcc>
  <rcc rId="516" sId="1" odxf="1" s="1" dxf="1">
    <nc r="G79">
      <f>+G80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517" sId="1" odxf="1" s="1" dxf="1" numFmtId="4">
    <nc r="G8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fmt sheetId="1" sqref="A1:A1048576">
    <dxf>
      <alignment vertical="top"/>
    </dxf>
  </rfmt>
  <rfmt sheetId="1" sqref="A1:XFD1048576">
    <dxf>
      <fill>
        <patternFill patternType="none">
          <bgColor auto="1"/>
        </patternFill>
      </fill>
    </dxf>
  </rfmt>
  <rdn rId="0" localSheetId="1" customView="1" name="Z_2A135292_D5EB_4A8D_A93E_D0B24F2543E0_.wvu.Rows" hidden="1" oldHidden="1">
    <oldFormula>рпр!$12:$121,рпр!$123:$140,рпр!$142:$288,рпр!$290:$514,рпр!$516:$521,рпр!$523:$696,рпр!$698:$740,рпр!$742:$791,рпр!$793:$840,рпр!$842:$845,рпр!$847:$850</oldFormula>
  </rdn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FilterData" hidden="1" oldHidden="1">
    <formula>рпр!$A$8:$G$850</formula>
    <oldFormula>рпр!$A$8:$G$850</oldFormula>
  </rdn>
  <rcv guid="{2A135292-D5EB-4A8D-A93E-D0B24F2543E0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1" sId="1" ref="A168:XFD168" action="deleteRow">
    <undo index="0" exp="ref" v="1" dr="G168" r="G167" sId="1"/>
    <undo index="0" exp="ref" v="1" dr="F168" r="F167" sId="1"/>
    <undo index="0" exp="ref" v="1" dr="E168" r="E167" sId="1"/>
    <undo index="65535" exp="area" ref3D="1" dr="$A$848:$XFD$850" dn="Z_1CA6CCC9_64EF_4CA9_9C9C_1E572976D134_.wvu.Rows" sId="1"/>
    <undo index="65535" exp="area" ref3D="1" dr="$A$843:$XFD$845" dn="Z_1CA6CCC9_64EF_4CA9_9C9C_1E572976D134_.wvu.Rows" sId="1"/>
    <undo index="65535" exp="area" ref3D="1" dr="$A$820:$XFD$840" dn="Z_1CA6CCC9_64EF_4CA9_9C9C_1E572976D134_.wvu.Rows" sId="1"/>
    <undo index="65535" exp="area" ref3D="1" dr="$A$800:$XFD$818" dn="Z_1CA6CCC9_64EF_4CA9_9C9C_1E572976D134_.wvu.Rows" sId="1"/>
    <undo index="65535" exp="area" ref3D="1" dr="$A$794:$XFD$798" dn="Z_1CA6CCC9_64EF_4CA9_9C9C_1E572976D134_.wvu.Rows" sId="1"/>
    <undo index="65535" exp="area" ref3D="1" dr="$A$762:$XFD$791" dn="Z_1CA6CCC9_64EF_4CA9_9C9C_1E572976D134_.wvu.Rows" sId="1"/>
    <undo index="65535" exp="area" ref3D="1" dr="$A$747:$XFD$760" dn="Z_1CA6CCC9_64EF_4CA9_9C9C_1E572976D134_.wvu.Rows" sId="1"/>
    <undo index="65535" exp="area" ref3D="1" dr="$A$743:$XFD$745" dn="Z_1CA6CCC9_64EF_4CA9_9C9C_1E572976D134_.wvu.Rows" sId="1"/>
    <undo index="65535" exp="area" ref3D="1" dr="$A$719:$XFD$740" dn="Z_1CA6CCC9_64EF_4CA9_9C9C_1E572976D134_.wvu.Rows" sId="1"/>
    <undo index="65535" exp="area" ref3D="1" dr="$A$699:$XFD$717" dn="Z_1CA6CCC9_64EF_4CA9_9C9C_1E572976D134_.wvu.Rows" sId="1"/>
    <undo index="65535" exp="area" ref3D="1" dr="$A$652:$XFD$696" dn="Z_1CA6CCC9_64EF_4CA9_9C9C_1E572976D134_.wvu.Rows" sId="1"/>
    <undo index="65535" exp="area" ref3D="1" dr="$A$634:$XFD$650" dn="Z_1CA6CCC9_64EF_4CA9_9C9C_1E572976D134_.wvu.Rows" sId="1"/>
    <undo index="65535" exp="area" ref3D="1" dr="$A$611:$XFD$632" dn="Z_1CA6CCC9_64EF_4CA9_9C9C_1E572976D134_.wvu.Rows" sId="1"/>
    <undo index="65535" exp="area" ref3D="1" dr="$A$546:$XFD$609" dn="Z_1CA6CCC9_64EF_4CA9_9C9C_1E572976D134_.wvu.Rows" sId="1"/>
    <undo index="65535" exp="area" ref3D="1" dr="$A$524:$XFD$544" dn="Z_1CA6CCC9_64EF_4CA9_9C9C_1E572976D134_.wvu.Rows" sId="1"/>
    <undo index="65535" exp="area" ref3D="1" dr="$A$517:$XFD$521" dn="Z_1CA6CCC9_64EF_4CA9_9C9C_1E572976D134_.wvu.Rows" sId="1"/>
    <undo index="65535" exp="area" ref3D="1" dr="$A$495:$XFD$514" dn="Z_1CA6CCC9_64EF_4CA9_9C9C_1E572976D134_.wvu.Rows" sId="1"/>
    <undo index="65535" exp="area" ref3D="1" dr="$A$418:$XFD$493" dn="Z_1CA6CCC9_64EF_4CA9_9C9C_1E572976D134_.wvu.Rows" sId="1"/>
    <undo index="65535" exp="area" ref3D="1" dr="$A$323:$XFD$416" dn="Z_1CA6CCC9_64EF_4CA9_9C9C_1E572976D134_.wvu.Rows" sId="1"/>
    <undo index="65535" exp="area" ref3D="1" dr="$A$291:$XFD$321" dn="Z_1CA6CCC9_64EF_4CA9_9C9C_1E572976D134_.wvu.Rows" sId="1"/>
    <undo index="65535" exp="area" ref3D="1" dr="$A$262:$XFD$288" dn="Z_1CA6CCC9_64EF_4CA9_9C9C_1E572976D134_.wvu.Rows" sId="1"/>
    <undo index="65535" exp="area" ref3D="1" dr="$A$165:$XFD$260" dn="Z_1CA6CCC9_64EF_4CA9_9C9C_1E572976D134_.wvu.Rows" sId="1"/>
    <rfmt sheetId="1" xfDxf="1" sqref="A168:XFD168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68" t="inlineStr">
        <is>
          <t>Осуществление дорожной деятельности в рамках реализации национального проекта "Инфраструктура для жизни"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168" t="inlineStr">
        <is>
          <t>0409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168" t="inlineStr">
        <is>
          <t>02 1 И8 9Д110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168" start="0" length="0">
      <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dxf>
    </rfmt>
    <rcc rId="0" sId="1" dxf="1">
      <nc r="E168">
        <f>E169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168">
        <f>F169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168">
        <f>G169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522" sId="1" ref="A168:XFD168" action="deleteRow">
    <undo index="65535" exp="area" ref3D="1" dr="$A$847:$XFD$849" dn="Z_1CA6CCC9_64EF_4CA9_9C9C_1E572976D134_.wvu.Rows" sId="1"/>
    <undo index="65535" exp="area" ref3D="1" dr="$A$842:$XFD$844" dn="Z_1CA6CCC9_64EF_4CA9_9C9C_1E572976D134_.wvu.Rows" sId="1"/>
    <undo index="65535" exp="area" ref3D="1" dr="$A$819:$XFD$839" dn="Z_1CA6CCC9_64EF_4CA9_9C9C_1E572976D134_.wvu.Rows" sId="1"/>
    <undo index="65535" exp="area" ref3D="1" dr="$A$799:$XFD$817" dn="Z_1CA6CCC9_64EF_4CA9_9C9C_1E572976D134_.wvu.Rows" sId="1"/>
    <undo index="65535" exp="area" ref3D="1" dr="$A$793:$XFD$797" dn="Z_1CA6CCC9_64EF_4CA9_9C9C_1E572976D134_.wvu.Rows" sId="1"/>
    <undo index="65535" exp="area" ref3D="1" dr="$A$761:$XFD$790" dn="Z_1CA6CCC9_64EF_4CA9_9C9C_1E572976D134_.wvu.Rows" sId="1"/>
    <undo index="65535" exp="area" ref3D="1" dr="$A$746:$XFD$759" dn="Z_1CA6CCC9_64EF_4CA9_9C9C_1E572976D134_.wvu.Rows" sId="1"/>
    <undo index="65535" exp="area" ref3D="1" dr="$A$742:$XFD$744" dn="Z_1CA6CCC9_64EF_4CA9_9C9C_1E572976D134_.wvu.Rows" sId="1"/>
    <undo index="65535" exp="area" ref3D="1" dr="$A$718:$XFD$739" dn="Z_1CA6CCC9_64EF_4CA9_9C9C_1E572976D134_.wvu.Rows" sId="1"/>
    <undo index="65535" exp="area" ref3D="1" dr="$A$698:$XFD$716" dn="Z_1CA6CCC9_64EF_4CA9_9C9C_1E572976D134_.wvu.Rows" sId="1"/>
    <undo index="65535" exp="area" ref3D="1" dr="$A$651:$XFD$695" dn="Z_1CA6CCC9_64EF_4CA9_9C9C_1E572976D134_.wvu.Rows" sId="1"/>
    <undo index="65535" exp="area" ref3D="1" dr="$A$633:$XFD$649" dn="Z_1CA6CCC9_64EF_4CA9_9C9C_1E572976D134_.wvu.Rows" sId="1"/>
    <undo index="65535" exp="area" ref3D="1" dr="$A$610:$XFD$631" dn="Z_1CA6CCC9_64EF_4CA9_9C9C_1E572976D134_.wvu.Rows" sId="1"/>
    <undo index="65535" exp="area" ref3D="1" dr="$A$545:$XFD$608" dn="Z_1CA6CCC9_64EF_4CA9_9C9C_1E572976D134_.wvu.Rows" sId="1"/>
    <undo index="65535" exp="area" ref3D="1" dr="$A$523:$XFD$543" dn="Z_1CA6CCC9_64EF_4CA9_9C9C_1E572976D134_.wvu.Rows" sId="1"/>
    <undo index="65535" exp="area" ref3D="1" dr="$A$516:$XFD$520" dn="Z_1CA6CCC9_64EF_4CA9_9C9C_1E572976D134_.wvu.Rows" sId="1"/>
    <undo index="65535" exp="area" ref3D="1" dr="$A$494:$XFD$513" dn="Z_1CA6CCC9_64EF_4CA9_9C9C_1E572976D134_.wvu.Rows" sId="1"/>
    <undo index="65535" exp="area" ref3D="1" dr="$A$417:$XFD$492" dn="Z_1CA6CCC9_64EF_4CA9_9C9C_1E572976D134_.wvu.Rows" sId="1"/>
    <undo index="65535" exp="area" ref3D="1" dr="$A$322:$XFD$415" dn="Z_1CA6CCC9_64EF_4CA9_9C9C_1E572976D134_.wvu.Rows" sId="1"/>
    <undo index="65535" exp="area" ref3D="1" dr="$A$290:$XFD$320" dn="Z_1CA6CCC9_64EF_4CA9_9C9C_1E572976D134_.wvu.Rows" sId="1"/>
    <undo index="65535" exp="area" ref3D="1" dr="$A$261:$XFD$287" dn="Z_1CA6CCC9_64EF_4CA9_9C9C_1E572976D134_.wvu.Rows" sId="1"/>
    <undo index="65535" exp="area" ref3D="1" dr="$A$165:$XFD$259" dn="Z_1CA6CCC9_64EF_4CA9_9C9C_1E572976D134_.wvu.Rows" sId="1"/>
    <rfmt sheetId="1" xfDxf="1" sqref="A168:XFD168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68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168" t="inlineStr">
        <is>
          <t>0409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168" t="inlineStr">
        <is>
          <t>02 1 И8 9Д110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D168" t="inlineStr">
        <is>
          <t>200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E168">
        <f>700000-525200-174800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168">
        <f>500000-240000-260000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G168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523" sId="1">
    <oc r="E167">
      <f>+#REF!+E168+E170+E172+E174+E176+E178+E180+E182+E188+E184+E186+E190+E192+E194+E196+E198+E200+E202+E204+E206+E210+E208</f>
    </oc>
    <nc r="E167">
      <f>E168+E170+E172+E174+E176+E178+E180+E182+E188+E184+E186+E190+E192+E194+E196+E198+E200+E202+E204+E206+E210+E208</f>
    </nc>
  </rcc>
  <rcc rId="524" sId="1">
    <oc r="F167">
      <f>+#REF!+F168+F170+F172+F174+F176+F178+F180+F182+F188+F184+F186+F190+F192+F194+F196+F198+F200+F202+F204+F206+F210+F208</f>
    </oc>
    <nc r="F167">
      <f>F168+F170+F172+F174+F176+F178+F180+F182+F188+F184+F186+F190+F192+F194+F196+F198+F200+F202+F204+F206+F210+F208</f>
    </nc>
  </rcc>
  <rcc rId="525" sId="1">
    <oc r="G167">
      <f>+#REF!+G168+G170+G172+G174+G176+G178+G180+G182+G188+G184+G186+G190+G192+G194+G196+G198+G200+G202+G204+G206+G210+G208</f>
    </oc>
    <nc r="G167">
      <f>G168+G170+G172+G174+G176+G178+G180+G182+G188+G184+G186+G190+G192+G194+G196+G198+G200+G202+G204+G206+G210+G208</f>
    </nc>
  </rcc>
  <rcc rId="526" sId="1" numFmtId="4">
    <nc r="F225">
      <v>0</v>
    </nc>
  </rcc>
  <rcc rId="527" sId="1" numFmtId="4">
    <nc r="G225">
      <v>0</v>
    </nc>
  </rcc>
  <rcc rId="528" sId="1" numFmtId="4">
    <nc r="G235">
      <v>0</v>
    </nc>
  </rcc>
  <rfmt sheetId="1" sqref="E244:G245">
    <dxf>
      <alignment vertical="top"/>
    </dxf>
  </rfmt>
  <rfmt sheetId="1" sqref="E244:G245">
    <dxf>
      <alignment horizontal="center"/>
    </dxf>
  </rfmt>
  <rcc rId="529" sId="1" numFmtId="4">
    <nc r="F244">
      <v>0</v>
    </nc>
  </rcc>
  <rcc rId="530" sId="1" numFmtId="4">
    <nc r="G244">
      <v>0</v>
    </nc>
  </rcc>
  <rcc rId="531" sId="1" numFmtId="4">
    <nc r="F245">
      <v>0</v>
    </nc>
  </rcc>
  <rcc rId="532" sId="1" numFmtId="4">
    <nc r="G245">
      <v>0</v>
    </nc>
  </rcc>
  <rcc rId="533" sId="1">
    <nc r="F256">
      <f>+F257</f>
    </nc>
  </rcc>
  <rcc rId="534" sId="1">
    <nc r="G256">
      <f>+G257</f>
    </nc>
  </rcc>
  <rcc rId="535" sId="1">
    <nc r="F257">
      <f>+F258</f>
    </nc>
  </rcc>
  <rcc rId="536" sId="1">
    <nc r="G257">
      <f>+G258</f>
    </nc>
  </rcc>
  <rcc rId="537" sId="1" numFmtId="4">
    <nc r="F258">
      <v>0</v>
    </nc>
  </rcc>
  <rcc rId="538" sId="1" numFmtId="4">
    <nc r="G258">
      <v>0</v>
    </nc>
  </rcc>
  <rcc rId="539" sId="1" numFmtId="4">
    <nc r="F277">
      <v>0</v>
    </nc>
  </rcc>
  <rcc rId="540" sId="1" numFmtId="4">
    <nc r="G277">
      <v>0</v>
    </nc>
  </rcc>
  <rcc rId="541" sId="1" numFmtId="4">
    <nc r="F304">
      <v>0</v>
    </nc>
  </rcc>
  <rcc rId="542" sId="1" numFmtId="4">
    <nc r="G304">
      <v>0</v>
    </nc>
  </rcc>
  <rcc rId="543" sId="1" numFmtId="4">
    <nc r="F667">
      <v>0</v>
    </nc>
  </rcc>
  <rcc rId="544" sId="1" numFmtId="4">
    <nc r="G667">
      <v>0</v>
    </nc>
  </rcc>
  <rrc rId="545" sId="1" ref="A851:XFD851" action="deleteRow">
    <rfmt sheetId="1" xfDxf="1" sqref="A851:XFD851" start="0" length="0">
      <dxf>
        <font>
          <color auto="1"/>
          <name val="Times New Roman"/>
          <family val="1"/>
          <scheme val="none"/>
        </font>
        <alignment horizontal="left" vertical="top"/>
      </dxf>
    </rfmt>
    <rfmt sheetId="1" sqref="A851" start="0" length="0">
      <dxf>
        <font>
          <sz val="12"/>
          <color auto="1"/>
          <name val="Times New Roman"/>
          <family val="1"/>
          <scheme val="none"/>
        </font>
        <alignment wrapText="1"/>
      </dxf>
    </rfmt>
    <rfmt sheetId="1" sqref="B85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C85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D85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qref="E85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right"/>
      </dxf>
    </rfmt>
    <rfmt sheetId="1" sqref="F85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right"/>
      </dxf>
    </rfmt>
    <rcc rId="0" sId="1" dxf="1">
      <nc r="G851" t="inlineStr">
        <is>
          <t>"</t>
        </is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right"/>
      </ndxf>
    </rcc>
  </rrc>
  <rrc rId="546" sId="1" ref="A851:XFD851" action="deleteRow">
    <undo index="0" exp="ref" v="1" dr="G851" r="G853" sId="1"/>
    <undo index="0" exp="ref" v="1" dr="F851" r="F853" sId="1"/>
    <undo index="0" exp="ref" v="1" dr="E851" r="E853" sId="1"/>
    <rfmt sheetId="1" xfDxf="1" sqref="A851:XFD851" start="0" length="0">
      <dxf>
        <font>
          <color auto="1"/>
          <name val="Times New Roman"/>
          <family val="1"/>
          <scheme val="none"/>
        </font>
        <alignment horizontal="left" vertical="top"/>
      </dxf>
    </rfmt>
    <rfmt sheetId="1" sqref="A851" start="0" length="0">
      <dxf>
        <font>
          <sz val="12"/>
          <color auto="1"/>
          <name val="Times New Roman"/>
          <family val="1"/>
          <scheme val="none"/>
        </font>
        <alignment wrapText="1"/>
      </dxf>
    </rfmt>
    <rfmt sheetId="1" sqref="B85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C85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D85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cc rId="0" sId="1" dxf="1" numFmtId="4">
      <nc r="E851">
        <v>14515364.6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F851">
        <v>14106756.9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851">
        <v>12902176.399999999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547" sId="1" ref="A851:XFD851" action="deleteRow">
    <rfmt sheetId="1" xfDxf="1" sqref="A851:XFD851" start="0" length="0">
      <dxf>
        <font>
          <color auto="1"/>
          <name val="Times New Roman"/>
          <family val="1"/>
          <scheme val="none"/>
        </font>
        <alignment horizontal="left" vertical="top"/>
      </dxf>
    </rfmt>
    <rfmt sheetId="1" sqref="A851" start="0" length="0">
      <dxf>
        <font>
          <sz val="12"/>
          <color auto="1"/>
          <name val="Times New Roman"/>
          <family val="1"/>
          <scheme val="none"/>
        </font>
        <alignment wrapText="1"/>
      </dxf>
    </rfmt>
    <rfmt sheetId="1" sqref="B85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C85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D85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qref="E85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qref="F85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qref="G85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</rrc>
  <rrc rId="548" sId="1" ref="A851:XFD851" action="deleteRow">
    <rfmt sheetId="1" xfDxf="1" sqref="A851:XFD851" start="0" length="0">
      <dxf>
        <font>
          <color auto="1"/>
          <name val="Times New Roman"/>
          <family val="1"/>
          <scheme val="none"/>
        </font>
        <alignment horizontal="left" vertical="top"/>
      </dxf>
    </rfmt>
    <rfmt sheetId="1" sqref="A851" start="0" length="0">
      <dxf>
        <font>
          <sz val="12"/>
          <color auto="1"/>
          <name val="Times New Roman"/>
          <family val="1"/>
          <scheme val="none"/>
        </font>
        <alignment wrapText="1"/>
      </dxf>
    </rfmt>
    <rfmt sheetId="1" sqref="B85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C85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D85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cc rId="0" sId="1" dxf="1">
      <nc r="E851">
        <f>#REF!-E850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851">
        <f>#REF!-F850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851">
        <f>#REF!-G850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fmt sheetId="1" sqref="H851" start="0" length="0">
      <dxf>
        <numFmt numFmtId="164" formatCode="#,##0.0"/>
        <alignment horizontal="right"/>
      </dxf>
    </rfmt>
  </rr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FilterData" hidden="1" oldHidden="1">
    <formula>рпр!$A$8:$G$848</formula>
    <oldFormula>рпр!$A$8:$G$848</oldFormula>
  </rdn>
  <rcv guid="{2A135292-D5EB-4A8D-A93E-D0B24F2543E0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1" sId="1" ref="A710:XFD710" action="insertRow">
    <undo index="65535" exp="area" ref3D="1" dr="$A$846:$XFD$848" dn="Z_1CA6CCC9_64EF_4CA9_9C9C_1E572976D134_.wvu.Rows" sId="1"/>
    <undo index="65535" exp="area" ref3D="1" dr="$A$841:$XFD$843" dn="Z_1CA6CCC9_64EF_4CA9_9C9C_1E572976D134_.wvu.Rows" sId="1"/>
    <undo index="65535" exp="area" ref3D="1" dr="$A$818:$XFD$838" dn="Z_1CA6CCC9_64EF_4CA9_9C9C_1E572976D134_.wvu.Rows" sId="1"/>
    <undo index="65535" exp="area" ref3D="1" dr="$A$798:$XFD$816" dn="Z_1CA6CCC9_64EF_4CA9_9C9C_1E572976D134_.wvu.Rows" sId="1"/>
    <undo index="65535" exp="area" ref3D="1" dr="$A$792:$XFD$796" dn="Z_1CA6CCC9_64EF_4CA9_9C9C_1E572976D134_.wvu.Rows" sId="1"/>
    <undo index="65535" exp="area" ref3D="1" dr="$A$760:$XFD$789" dn="Z_1CA6CCC9_64EF_4CA9_9C9C_1E572976D134_.wvu.Rows" sId="1"/>
    <undo index="65535" exp="area" ref3D="1" dr="$A$745:$XFD$758" dn="Z_1CA6CCC9_64EF_4CA9_9C9C_1E572976D134_.wvu.Rows" sId="1"/>
    <undo index="65535" exp="area" ref3D="1" dr="$A$741:$XFD$743" dn="Z_1CA6CCC9_64EF_4CA9_9C9C_1E572976D134_.wvu.Rows" sId="1"/>
    <undo index="65535" exp="area" ref3D="1" dr="$A$717:$XFD$738" dn="Z_1CA6CCC9_64EF_4CA9_9C9C_1E572976D134_.wvu.Rows" sId="1"/>
    <undo index="65535" exp="area" ref3D="1" dr="$A$697:$XFD$715" dn="Z_1CA6CCC9_64EF_4CA9_9C9C_1E572976D134_.wvu.Rows" sId="1"/>
  </rrc>
  <rcc rId="552" sId="1" odxf="1" dxf="1">
    <nc r="A710" t="inlineStr">
      <is>
        <t>Разработка проектной документации для объектов сферы культуры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553" sId="1" odxf="1" dxf="1">
    <nc r="B710" t="inlineStr">
      <is>
        <t>0801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C710" start="0" length="0">
    <dxf>
      <font>
        <sz val="12"/>
        <name val="Times New Roman"/>
        <family val="1"/>
      </font>
    </dxf>
  </rfmt>
  <rcc rId="554" sId="1">
    <nc r="E710">
      <f>E711</f>
    </nc>
  </rcc>
  <rcc rId="555" sId="1">
    <nc r="F710">
      <f>F711</f>
    </nc>
  </rcc>
  <rcc rId="556" sId="1">
    <nc r="G710">
      <f>G711</f>
    </nc>
  </rcc>
  <rcc rId="557" sId="1">
    <nc r="C710" t="inlineStr">
      <is>
        <t>05 2 03 40110</t>
      </is>
    </nc>
  </rcc>
  <rcc rId="558" sId="1">
    <oc r="C711" t="inlineStr">
      <is>
        <t>05 2 03 40011</t>
      </is>
    </oc>
    <nc r="C711" t="inlineStr">
      <is>
        <t>05 2 03 40111</t>
      </is>
    </nc>
  </rcc>
  <rcc rId="559" sId="1">
    <oc r="C712" t="inlineStr">
      <is>
        <t>05 2 03 40011</t>
      </is>
    </oc>
    <nc r="C712" t="inlineStr">
      <is>
        <t>05 2 03 40111</t>
      </is>
    </nc>
  </rcc>
  <rdn rId="0" localSheetId="1" customView="1" name="Z_98E64474_CDF2_4660_977D_8A2058B27A2F_.wvu.PrintTitles" hidden="1" oldHidden="1">
    <formula>рпр!$9:$10</formula>
  </rdn>
  <rdn rId="0" localSheetId="1" customView="1" name="Z_98E64474_CDF2_4660_977D_8A2058B27A2F_.wvu.FilterData" hidden="1" oldHidden="1">
    <formula>рпр!$A$8:$G$849</formula>
  </rdn>
  <rcv guid="{98E64474-CDF2-4660-977D-8A2058B27A2F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" sId="1">
    <oc r="E761">
      <f>836+420</f>
    </oc>
    <nc r="E761">
      <f>836+420-275</f>
    </nc>
  </rcc>
  <rcc rId="16" sId="1" numFmtId="4">
    <oc r="E764">
      <v>600</v>
    </oc>
    <nc r="E764">
      <f>600-280</f>
    </nc>
  </rcc>
  <rcc rId="17" sId="1">
    <oc r="E770">
      <f>6800+1700+250+700+99.3+619.7</f>
    </oc>
    <nc r="E770">
      <f>6800+1700+250+700+99.3+619.7-273.9</f>
    </nc>
  </rcc>
  <rcc rId="18" sId="1" numFmtId="4">
    <oc r="E772">
      <v>3200.8</v>
    </oc>
    <nc r="E772">
      <f>3200.8+828.9+1059.1</f>
    </nc>
  </rcc>
  <rcc rId="19" sId="1">
    <oc r="E752">
      <f>47356.9+1717.7</f>
    </oc>
    <nc r="E752">
      <f>47356.9+1717.7-44+1699.3</f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:E1048576">
    <dxf>
      <numFmt numFmtId="4" formatCode="#,##0.00"/>
    </dxf>
  </rfmt>
  <rcc rId="562" sId="1">
    <oc r="E375">
      <f>394+6173.14</f>
    </oc>
    <nc r="E375">
      <f>394+6173.1</f>
    </nc>
  </rc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Rows" hidden="1" oldHidden="1">
    <formula>рпр!$13:$15,рпр!$17:$28,рпр!$30:$46,рпр!$48:$51,рпр!$53:$57,рпр!$59:$61,рпр!$63:$67,рпр!$69:$121,рпр!$124:$140,рпр!$143:$151,рпр!$153:$163,рпр!$165:$258,рпр!$260:$286,рпр!$289:$319,рпр!$416:$491,рпр!$493:$512,рпр!$515:$519,рпр!$522:$542,рпр!$544:$607,рпр!$609:$630,рпр!$632:$648,рпр!$650:$694,рпр!$697:$716,рпр!$718:$739,рпр!$742:$744,рпр!$746:$759,рпр!$761:$790,рпр!$793:$797,рпр!$799:$817,рпр!$819:$839,рпр!$842:$844,рпр!$847:$849</formula>
  </rdn>
  <rdn rId="0" localSheetId="1" customView="1" name="Z_2A135292_D5EB_4A8D_A93E_D0B24F2543E0_.wvu.FilterData" hidden="1" oldHidden="1">
    <formula>рпр!$A$8:$G$849</formula>
    <oldFormula>рпр!$A$8:$G$849</oldFormula>
  </rdn>
  <rcv guid="{2A135292-D5EB-4A8D-A93E-D0B24F2543E0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:E1048576">
    <dxf>
      <numFmt numFmtId="164" formatCode="#,##0.0"/>
    </dxf>
  </rfmt>
  <rdn rId="0" localSheetId="1" customView="1" name="Z_2A135292_D5EB_4A8D_A93E_D0B24F2543E0_.wvu.Rows" hidden="1" oldHidden="1">
    <oldFormula>рпр!$13:$15,рпр!$17:$28,рпр!$30:$46,рпр!$48:$51,рпр!$53:$57,рпр!$59:$61,рпр!$63:$67,рпр!$69:$121,рпр!$124:$140,рпр!$143:$151,рпр!$153:$163,рпр!$165:$258,рпр!$260:$286,рпр!$289:$319,рпр!$416:$491,рпр!$493:$512,рпр!$515:$519,рпр!$522:$542,рпр!$544:$607,рпр!$609:$630,рпр!$632:$648,рпр!$650:$694,рпр!$697:$716,рпр!$718:$739,рпр!$742:$744,рпр!$746:$759,рпр!$761:$790,рпр!$793:$797,рпр!$799:$817,рпр!$819:$839,рпр!$842:$844,рпр!$847:$849</oldFormula>
  </rdn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FilterData" hidden="1" oldHidden="1">
    <formula>рпр!$A$8:$G$849</formula>
    <oldFormula>рпр!$A$8:$G$849</oldFormula>
  </rdn>
  <rcv guid="{2A135292-D5EB-4A8D-A93E-D0B24F2543E0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51:XFD51" start="0" length="2147483647">
    <dxf>
      <font>
        <color rgb="FFFF0000"/>
      </font>
    </dxf>
  </rfmt>
  <rfmt sheetId="1" sqref="A85:XFD85" start="0" length="2147483647">
    <dxf>
      <font>
        <color rgb="FFFF0000"/>
      </font>
    </dxf>
  </rfmt>
  <rfmt sheetId="1" sqref="A205:XFD205" start="0" length="2147483647">
    <dxf>
      <font>
        <color rgb="FFFF0000"/>
      </font>
    </dxf>
  </rfmt>
  <rfmt sheetId="1" sqref="A204:XFD204" start="0" length="2147483647">
    <dxf>
      <font>
        <color rgb="FFFF0000"/>
      </font>
    </dxf>
  </rfmt>
  <rfmt sheetId="1" sqref="A278:XFD279" start="0" length="2147483647">
    <dxf>
      <font>
        <color rgb="FFFF0000"/>
      </font>
    </dxf>
  </rfmt>
  <rrc rId="569" sId="1" ref="A278:XFD278" action="deleteRow">
    <undo index="65535" exp="ref" v="1" dr="G278" r="G273" sId="1"/>
    <undo index="65535" exp="ref" v="1" dr="F278" r="F273" sId="1"/>
    <undo index="65535" exp="ref" v="1" dr="E278" r="E273" sId="1"/>
    <undo index="65535" exp="area" ref3D="1" dr="$A$847:$XFD$849" dn="Z_1CA6CCC9_64EF_4CA9_9C9C_1E572976D134_.wvu.Rows" sId="1"/>
    <undo index="65535" exp="area" ref3D="1" dr="$A$842:$XFD$844" dn="Z_1CA6CCC9_64EF_4CA9_9C9C_1E572976D134_.wvu.Rows" sId="1"/>
    <undo index="65535" exp="area" ref3D="1" dr="$A$819:$XFD$839" dn="Z_1CA6CCC9_64EF_4CA9_9C9C_1E572976D134_.wvu.Rows" sId="1"/>
    <undo index="65535" exp="area" ref3D="1" dr="$A$799:$XFD$817" dn="Z_1CA6CCC9_64EF_4CA9_9C9C_1E572976D134_.wvu.Rows" sId="1"/>
    <undo index="65535" exp="area" ref3D="1" dr="$A$793:$XFD$797" dn="Z_1CA6CCC9_64EF_4CA9_9C9C_1E572976D134_.wvu.Rows" sId="1"/>
    <undo index="65535" exp="area" ref3D="1" dr="$A$761:$XFD$790" dn="Z_1CA6CCC9_64EF_4CA9_9C9C_1E572976D134_.wvu.Rows" sId="1"/>
    <undo index="65535" exp="area" ref3D="1" dr="$A$746:$XFD$759" dn="Z_1CA6CCC9_64EF_4CA9_9C9C_1E572976D134_.wvu.Rows" sId="1"/>
    <undo index="65535" exp="area" ref3D="1" dr="$A$742:$XFD$744" dn="Z_1CA6CCC9_64EF_4CA9_9C9C_1E572976D134_.wvu.Rows" sId="1"/>
    <undo index="65535" exp="area" ref3D="1" dr="$A$718:$XFD$739" dn="Z_1CA6CCC9_64EF_4CA9_9C9C_1E572976D134_.wvu.Rows" sId="1"/>
    <undo index="65535" exp="area" ref3D="1" dr="$A$697:$XFD$716" dn="Z_1CA6CCC9_64EF_4CA9_9C9C_1E572976D134_.wvu.Rows" sId="1"/>
    <undo index="65535" exp="area" ref3D="1" dr="$A$650:$XFD$694" dn="Z_1CA6CCC9_64EF_4CA9_9C9C_1E572976D134_.wvu.Rows" sId="1"/>
    <undo index="65535" exp="area" ref3D="1" dr="$A$632:$XFD$648" dn="Z_1CA6CCC9_64EF_4CA9_9C9C_1E572976D134_.wvu.Rows" sId="1"/>
    <undo index="65535" exp="area" ref3D="1" dr="$A$609:$XFD$630" dn="Z_1CA6CCC9_64EF_4CA9_9C9C_1E572976D134_.wvu.Rows" sId="1"/>
    <undo index="65535" exp="area" ref3D="1" dr="$A$544:$XFD$607" dn="Z_1CA6CCC9_64EF_4CA9_9C9C_1E572976D134_.wvu.Rows" sId="1"/>
    <undo index="65535" exp="area" ref3D="1" dr="$A$522:$XFD$542" dn="Z_1CA6CCC9_64EF_4CA9_9C9C_1E572976D134_.wvu.Rows" sId="1"/>
    <undo index="65535" exp="area" ref3D="1" dr="$A$515:$XFD$519" dn="Z_1CA6CCC9_64EF_4CA9_9C9C_1E572976D134_.wvu.Rows" sId="1"/>
    <undo index="65535" exp="area" ref3D="1" dr="$A$493:$XFD$512" dn="Z_1CA6CCC9_64EF_4CA9_9C9C_1E572976D134_.wvu.Rows" sId="1"/>
    <undo index="65535" exp="area" ref3D="1" dr="$A$416:$XFD$491" dn="Z_1CA6CCC9_64EF_4CA9_9C9C_1E572976D134_.wvu.Rows" sId="1"/>
    <undo index="65535" exp="area" ref3D="1" dr="$A$321:$XFD$414" dn="Z_1CA6CCC9_64EF_4CA9_9C9C_1E572976D134_.wvu.Rows" sId="1"/>
    <undo index="65535" exp="area" ref3D="1" dr="$A$289:$XFD$319" dn="Z_1CA6CCC9_64EF_4CA9_9C9C_1E572976D134_.wvu.Rows" sId="1"/>
    <undo index="65535" exp="area" ref3D="1" dr="$A$260:$XFD$286" dn="Z_1CA6CCC9_64EF_4CA9_9C9C_1E572976D134_.wvu.Rows" sId="1"/>
    <rfmt sheetId="1" xfDxf="1" sqref="A278:XFD278" start="0" length="0">
      <dxf>
        <font>
          <color rgb="FFFF0000"/>
          <name val="Times New Roman"/>
          <family val="1"/>
          <scheme val="none"/>
        </font>
        <alignment horizontal="left" vertical="top"/>
      </dxf>
    </rfmt>
    <rcc rId="0" sId="1" dxf="1">
      <nc r="A278" t="inlineStr">
        <is>
          <t>Проведение комплексных кадастровых работ</t>
        </is>
      </nc>
      <ndxf>
        <font>
          <sz val="12"/>
          <color rgb="FFFF0000"/>
          <name val="Times New Roman"/>
          <family val="1"/>
          <scheme val="none"/>
        </font>
        <alignment horizontal="general" wrapText="1"/>
      </ndxf>
    </rcc>
    <rcc rId="0" sId="1" dxf="1">
      <nc r="B278" t="inlineStr">
        <is>
          <t>0412</t>
        </is>
      </nc>
      <n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ndxf>
    </rcc>
    <rcc rId="0" sId="1" dxf="1">
      <nc r="C278" t="inlineStr">
        <is>
          <t>10 2 01 L5110</t>
        </is>
      </nc>
      <n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ndxf>
    </rcc>
    <rfmt sheetId="1" sqref="D278" start="0" length="0">
      <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dxf>
    </rfmt>
    <rcc rId="0" sId="1" s="1" dxf="1">
      <nc r="E278">
        <f>E279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278">
        <f>F279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278">
        <f>G279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</rrc>
  <rrc rId="570" sId="1" ref="A278:XFD278" action="deleteRow">
    <undo index="65535" exp="area" ref3D="1" dr="$A$846:$XFD$848" dn="Z_1CA6CCC9_64EF_4CA9_9C9C_1E572976D134_.wvu.Rows" sId="1"/>
    <undo index="65535" exp="area" ref3D="1" dr="$A$841:$XFD$843" dn="Z_1CA6CCC9_64EF_4CA9_9C9C_1E572976D134_.wvu.Rows" sId="1"/>
    <undo index="65535" exp="area" ref3D="1" dr="$A$818:$XFD$838" dn="Z_1CA6CCC9_64EF_4CA9_9C9C_1E572976D134_.wvu.Rows" sId="1"/>
    <undo index="65535" exp="area" ref3D="1" dr="$A$798:$XFD$816" dn="Z_1CA6CCC9_64EF_4CA9_9C9C_1E572976D134_.wvu.Rows" sId="1"/>
    <undo index="65535" exp="area" ref3D="1" dr="$A$792:$XFD$796" dn="Z_1CA6CCC9_64EF_4CA9_9C9C_1E572976D134_.wvu.Rows" sId="1"/>
    <undo index="65535" exp="area" ref3D="1" dr="$A$760:$XFD$789" dn="Z_1CA6CCC9_64EF_4CA9_9C9C_1E572976D134_.wvu.Rows" sId="1"/>
    <undo index="65535" exp="area" ref3D="1" dr="$A$745:$XFD$758" dn="Z_1CA6CCC9_64EF_4CA9_9C9C_1E572976D134_.wvu.Rows" sId="1"/>
    <undo index="65535" exp="area" ref3D="1" dr="$A$741:$XFD$743" dn="Z_1CA6CCC9_64EF_4CA9_9C9C_1E572976D134_.wvu.Rows" sId="1"/>
    <undo index="65535" exp="area" ref3D="1" dr="$A$717:$XFD$738" dn="Z_1CA6CCC9_64EF_4CA9_9C9C_1E572976D134_.wvu.Rows" sId="1"/>
    <undo index="65535" exp="area" ref3D="1" dr="$A$696:$XFD$715" dn="Z_1CA6CCC9_64EF_4CA9_9C9C_1E572976D134_.wvu.Rows" sId="1"/>
    <undo index="65535" exp="area" ref3D="1" dr="$A$649:$XFD$693" dn="Z_1CA6CCC9_64EF_4CA9_9C9C_1E572976D134_.wvu.Rows" sId="1"/>
    <undo index="65535" exp="area" ref3D="1" dr="$A$631:$XFD$647" dn="Z_1CA6CCC9_64EF_4CA9_9C9C_1E572976D134_.wvu.Rows" sId="1"/>
    <undo index="65535" exp="area" ref3D="1" dr="$A$608:$XFD$629" dn="Z_1CA6CCC9_64EF_4CA9_9C9C_1E572976D134_.wvu.Rows" sId="1"/>
    <undo index="65535" exp="area" ref3D="1" dr="$A$543:$XFD$606" dn="Z_1CA6CCC9_64EF_4CA9_9C9C_1E572976D134_.wvu.Rows" sId="1"/>
    <undo index="65535" exp="area" ref3D="1" dr="$A$521:$XFD$541" dn="Z_1CA6CCC9_64EF_4CA9_9C9C_1E572976D134_.wvu.Rows" sId="1"/>
    <undo index="65535" exp="area" ref3D="1" dr="$A$514:$XFD$518" dn="Z_1CA6CCC9_64EF_4CA9_9C9C_1E572976D134_.wvu.Rows" sId="1"/>
    <undo index="65535" exp="area" ref3D="1" dr="$A$492:$XFD$511" dn="Z_1CA6CCC9_64EF_4CA9_9C9C_1E572976D134_.wvu.Rows" sId="1"/>
    <undo index="65535" exp="area" ref3D="1" dr="$A$415:$XFD$490" dn="Z_1CA6CCC9_64EF_4CA9_9C9C_1E572976D134_.wvu.Rows" sId="1"/>
    <undo index="65535" exp="area" ref3D="1" dr="$A$320:$XFD$413" dn="Z_1CA6CCC9_64EF_4CA9_9C9C_1E572976D134_.wvu.Rows" sId="1"/>
    <undo index="65535" exp="area" ref3D="1" dr="$A$288:$XFD$318" dn="Z_1CA6CCC9_64EF_4CA9_9C9C_1E572976D134_.wvu.Rows" sId="1"/>
    <undo index="65535" exp="area" ref3D="1" dr="$A$260:$XFD$285" dn="Z_1CA6CCC9_64EF_4CA9_9C9C_1E572976D134_.wvu.Rows" sId="1"/>
    <rfmt sheetId="1" xfDxf="1" sqref="A278:XFD278" start="0" length="0">
      <dxf>
        <font>
          <color rgb="FFFF0000"/>
          <name val="Times New Roman"/>
          <family val="1"/>
          <scheme val="none"/>
        </font>
        <alignment horizontal="left" vertical="top"/>
      </dxf>
    </rfmt>
    <rcc rId="0" sId="1" dxf="1">
      <nc r="A278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rgb="FFFF0000"/>
          <name val="Times New Roman"/>
          <family val="1"/>
          <scheme val="none"/>
        </font>
        <alignment horizontal="general" wrapText="1"/>
      </ndxf>
    </rcc>
    <rcc rId="0" sId="1" dxf="1">
      <nc r="B278" t="inlineStr">
        <is>
          <t>0412</t>
        </is>
      </nc>
      <n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ndxf>
    </rcc>
    <rcc rId="0" sId="1" dxf="1">
      <nc r="C278" t="inlineStr">
        <is>
          <t>10 2 01 L5110</t>
        </is>
      </nc>
      <n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ndxf>
    </rcc>
    <rcc rId="0" sId="1" dxf="1" numFmtId="30">
      <nc r="D278">
        <v>200</v>
      </nc>
      <n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E278">
        <f>2097.9-1597.9-500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278">
        <f>49148.5-49148.5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278">
        <f>49148.5-49148.5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</rrc>
  <rcc rId="571" sId="1">
    <oc r="E273">
      <f>E274+#REF!+E276+E278</f>
    </oc>
    <nc r="E273">
      <f>E274+E276+E278</f>
    </nc>
  </rcc>
  <rcc rId="572" sId="1">
    <oc r="F273">
      <f>F274+#REF!+F276</f>
    </oc>
    <nc r="F273">
      <f>F274+F276+F278</f>
    </nc>
  </rcc>
  <rcc rId="573" sId="1">
    <oc r="G273">
      <f>G274+#REF!+G276</f>
    </oc>
    <nc r="G273">
      <f>G274+G276+G278</f>
    </nc>
  </rcc>
  <rrc rId="574" sId="1" ref="A204:XFD204" action="deleteRow">
    <undo index="65535" exp="ref" v="1" dr="G204" r="G167" sId="1"/>
    <undo index="65535" exp="ref" v="1" dr="F204" r="F167" sId="1"/>
    <undo index="65535" exp="ref" v="1" dr="E204" r="E167" sId="1"/>
    <undo index="65535" exp="area" ref3D="1" dr="$A$845:$XFD$847" dn="Z_1CA6CCC9_64EF_4CA9_9C9C_1E572976D134_.wvu.Rows" sId="1"/>
    <undo index="65535" exp="area" ref3D="1" dr="$A$840:$XFD$842" dn="Z_1CA6CCC9_64EF_4CA9_9C9C_1E572976D134_.wvu.Rows" sId="1"/>
    <undo index="65535" exp="area" ref3D="1" dr="$A$817:$XFD$837" dn="Z_1CA6CCC9_64EF_4CA9_9C9C_1E572976D134_.wvu.Rows" sId="1"/>
    <undo index="65535" exp="area" ref3D="1" dr="$A$797:$XFD$815" dn="Z_1CA6CCC9_64EF_4CA9_9C9C_1E572976D134_.wvu.Rows" sId="1"/>
    <undo index="65535" exp="area" ref3D="1" dr="$A$791:$XFD$795" dn="Z_1CA6CCC9_64EF_4CA9_9C9C_1E572976D134_.wvu.Rows" sId="1"/>
    <undo index="65535" exp="area" ref3D="1" dr="$A$759:$XFD$788" dn="Z_1CA6CCC9_64EF_4CA9_9C9C_1E572976D134_.wvu.Rows" sId="1"/>
    <undo index="65535" exp="area" ref3D="1" dr="$A$744:$XFD$757" dn="Z_1CA6CCC9_64EF_4CA9_9C9C_1E572976D134_.wvu.Rows" sId="1"/>
    <undo index="65535" exp="area" ref3D="1" dr="$A$740:$XFD$742" dn="Z_1CA6CCC9_64EF_4CA9_9C9C_1E572976D134_.wvu.Rows" sId="1"/>
    <undo index="65535" exp="area" ref3D="1" dr="$A$716:$XFD$737" dn="Z_1CA6CCC9_64EF_4CA9_9C9C_1E572976D134_.wvu.Rows" sId="1"/>
    <undo index="65535" exp="area" ref3D="1" dr="$A$695:$XFD$714" dn="Z_1CA6CCC9_64EF_4CA9_9C9C_1E572976D134_.wvu.Rows" sId="1"/>
    <undo index="65535" exp="area" ref3D="1" dr="$A$648:$XFD$692" dn="Z_1CA6CCC9_64EF_4CA9_9C9C_1E572976D134_.wvu.Rows" sId="1"/>
    <undo index="65535" exp="area" ref3D="1" dr="$A$630:$XFD$646" dn="Z_1CA6CCC9_64EF_4CA9_9C9C_1E572976D134_.wvu.Rows" sId="1"/>
    <undo index="65535" exp="area" ref3D="1" dr="$A$607:$XFD$628" dn="Z_1CA6CCC9_64EF_4CA9_9C9C_1E572976D134_.wvu.Rows" sId="1"/>
    <undo index="65535" exp="area" ref3D="1" dr="$A$542:$XFD$605" dn="Z_1CA6CCC9_64EF_4CA9_9C9C_1E572976D134_.wvu.Rows" sId="1"/>
    <undo index="65535" exp="area" ref3D="1" dr="$A$520:$XFD$540" dn="Z_1CA6CCC9_64EF_4CA9_9C9C_1E572976D134_.wvu.Rows" sId="1"/>
    <undo index="65535" exp="area" ref3D="1" dr="$A$513:$XFD$517" dn="Z_1CA6CCC9_64EF_4CA9_9C9C_1E572976D134_.wvu.Rows" sId="1"/>
    <undo index="65535" exp="area" ref3D="1" dr="$A$491:$XFD$510" dn="Z_1CA6CCC9_64EF_4CA9_9C9C_1E572976D134_.wvu.Rows" sId="1"/>
    <undo index="65535" exp="area" ref3D="1" dr="$A$414:$XFD$489" dn="Z_1CA6CCC9_64EF_4CA9_9C9C_1E572976D134_.wvu.Rows" sId="1"/>
    <undo index="65535" exp="area" ref3D="1" dr="$A$319:$XFD$412" dn="Z_1CA6CCC9_64EF_4CA9_9C9C_1E572976D134_.wvu.Rows" sId="1"/>
    <undo index="65535" exp="area" ref3D="1" dr="$A$287:$XFD$317" dn="Z_1CA6CCC9_64EF_4CA9_9C9C_1E572976D134_.wvu.Rows" sId="1"/>
    <undo index="65535" exp="area" ref3D="1" dr="$A$260:$XFD$284" dn="Z_1CA6CCC9_64EF_4CA9_9C9C_1E572976D134_.wvu.Rows" sId="1"/>
    <undo index="65535" exp="area" ref3D="1" dr="$A$165:$XFD$258" dn="Z_1CA6CCC9_64EF_4CA9_9C9C_1E572976D134_.wvu.Rows" sId="1"/>
    <rfmt sheetId="1" xfDxf="1" sqref="A204:XFD204" start="0" length="0">
      <dxf>
        <font>
          <color rgb="FFFF0000"/>
          <name val="Times New Roman"/>
          <family val="1"/>
          <scheme val="none"/>
        </font>
        <alignment horizontal="left" vertical="top"/>
      </dxf>
    </rfmt>
    <rcc rId="0" sId="1" dxf="1">
      <nc r="A204" t="inlineStr">
        <is>
          <t>Осуществление дорожной деятельности в рамках реализации национального проекта "Инфраструктура для жизни" (Ремонт автомобильной дороги по ул. Красноармейская от ул. Островского до ул. 50 лет Октября)</t>
        </is>
      </nc>
      <ndxf>
        <font>
          <sz val="12"/>
          <color rgb="FFFF0000"/>
          <name val="Times New Roman"/>
          <family val="1"/>
          <scheme val="none"/>
        </font>
        <numFmt numFmtId="30" formatCode="@"/>
        <alignment wrapText="1"/>
      </ndxf>
    </rcc>
    <rcc rId="0" sId="1" s="1" dxf="1">
      <nc r="B204" t="inlineStr">
        <is>
          <t>0409</t>
        </is>
      </nc>
      <n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ndxf>
    </rcc>
    <rcc rId="0" sId="1" dxf="1">
      <nc r="C204" t="inlineStr">
        <is>
          <t>02 1 И8 9Д11Л</t>
        </is>
      </nc>
      <ndxf>
        <font>
          <sz val="12"/>
          <color rgb="FFFF0000"/>
          <name val="Times New Roman"/>
          <family val="1"/>
          <scheme val="none"/>
        </font>
        <numFmt numFmtId="30" formatCode="@"/>
        <alignment horizontal="center" wrapText="1"/>
      </ndxf>
    </rcc>
    <rfmt sheetId="1" s="1" sqref="D204" start="0" length="0">
      <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dxf>
    </rfmt>
    <rcc rId="0" sId="1" s="1" dxf="1">
      <nc r="E204">
        <f>E205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204">
        <f>F205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204">
        <f>G205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</rrc>
  <rrc rId="575" sId="1" ref="A204:XFD204" action="deleteRow">
    <undo index="65535" exp="area" ref3D="1" dr="$A$844:$XFD$846" dn="Z_1CA6CCC9_64EF_4CA9_9C9C_1E572976D134_.wvu.Rows" sId="1"/>
    <undo index="65535" exp="area" ref3D="1" dr="$A$839:$XFD$841" dn="Z_1CA6CCC9_64EF_4CA9_9C9C_1E572976D134_.wvu.Rows" sId="1"/>
    <undo index="65535" exp="area" ref3D="1" dr="$A$816:$XFD$836" dn="Z_1CA6CCC9_64EF_4CA9_9C9C_1E572976D134_.wvu.Rows" sId="1"/>
    <undo index="65535" exp="area" ref3D="1" dr="$A$796:$XFD$814" dn="Z_1CA6CCC9_64EF_4CA9_9C9C_1E572976D134_.wvu.Rows" sId="1"/>
    <undo index="65535" exp="area" ref3D="1" dr="$A$790:$XFD$794" dn="Z_1CA6CCC9_64EF_4CA9_9C9C_1E572976D134_.wvu.Rows" sId="1"/>
    <undo index="65535" exp="area" ref3D="1" dr="$A$758:$XFD$787" dn="Z_1CA6CCC9_64EF_4CA9_9C9C_1E572976D134_.wvu.Rows" sId="1"/>
    <undo index="65535" exp="area" ref3D="1" dr="$A$743:$XFD$756" dn="Z_1CA6CCC9_64EF_4CA9_9C9C_1E572976D134_.wvu.Rows" sId="1"/>
    <undo index="65535" exp="area" ref3D="1" dr="$A$739:$XFD$741" dn="Z_1CA6CCC9_64EF_4CA9_9C9C_1E572976D134_.wvu.Rows" sId="1"/>
    <undo index="65535" exp="area" ref3D="1" dr="$A$715:$XFD$736" dn="Z_1CA6CCC9_64EF_4CA9_9C9C_1E572976D134_.wvu.Rows" sId="1"/>
    <undo index="65535" exp="area" ref3D="1" dr="$A$694:$XFD$713" dn="Z_1CA6CCC9_64EF_4CA9_9C9C_1E572976D134_.wvu.Rows" sId="1"/>
    <undo index="65535" exp="area" ref3D="1" dr="$A$647:$XFD$691" dn="Z_1CA6CCC9_64EF_4CA9_9C9C_1E572976D134_.wvu.Rows" sId="1"/>
    <undo index="65535" exp="area" ref3D="1" dr="$A$629:$XFD$645" dn="Z_1CA6CCC9_64EF_4CA9_9C9C_1E572976D134_.wvu.Rows" sId="1"/>
    <undo index="65535" exp="area" ref3D="1" dr="$A$606:$XFD$627" dn="Z_1CA6CCC9_64EF_4CA9_9C9C_1E572976D134_.wvu.Rows" sId="1"/>
    <undo index="65535" exp="area" ref3D="1" dr="$A$541:$XFD$604" dn="Z_1CA6CCC9_64EF_4CA9_9C9C_1E572976D134_.wvu.Rows" sId="1"/>
    <undo index="65535" exp="area" ref3D="1" dr="$A$519:$XFD$539" dn="Z_1CA6CCC9_64EF_4CA9_9C9C_1E572976D134_.wvu.Rows" sId="1"/>
    <undo index="65535" exp="area" ref3D="1" dr="$A$512:$XFD$516" dn="Z_1CA6CCC9_64EF_4CA9_9C9C_1E572976D134_.wvu.Rows" sId="1"/>
    <undo index="65535" exp="area" ref3D="1" dr="$A$490:$XFD$509" dn="Z_1CA6CCC9_64EF_4CA9_9C9C_1E572976D134_.wvu.Rows" sId="1"/>
    <undo index="65535" exp="area" ref3D="1" dr="$A$413:$XFD$488" dn="Z_1CA6CCC9_64EF_4CA9_9C9C_1E572976D134_.wvu.Rows" sId="1"/>
    <undo index="65535" exp="area" ref3D="1" dr="$A$318:$XFD$411" dn="Z_1CA6CCC9_64EF_4CA9_9C9C_1E572976D134_.wvu.Rows" sId="1"/>
    <undo index="65535" exp="area" ref3D="1" dr="$A$286:$XFD$316" dn="Z_1CA6CCC9_64EF_4CA9_9C9C_1E572976D134_.wvu.Rows" sId="1"/>
    <undo index="65535" exp="area" ref3D="1" dr="$A$259:$XFD$283" dn="Z_1CA6CCC9_64EF_4CA9_9C9C_1E572976D134_.wvu.Rows" sId="1"/>
    <undo index="65535" exp="area" ref3D="1" dr="$A$165:$XFD$257" dn="Z_1CA6CCC9_64EF_4CA9_9C9C_1E572976D134_.wvu.Rows" sId="1"/>
    <rfmt sheetId="1" xfDxf="1" sqref="A204:XFD204" start="0" length="0">
      <dxf>
        <font>
          <color rgb="FFFF0000"/>
          <name val="Times New Roman"/>
          <family val="1"/>
          <scheme val="none"/>
        </font>
        <alignment horizontal="left" vertical="top"/>
      </dxf>
    </rfmt>
    <rcc rId="0" sId="1" s="1" dxf="1">
      <nc r="A204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rgb="FFFF0000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204" t="inlineStr">
        <is>
          <t>0409</t>
        </is>
      </nc>
      <n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ndxf>
    </rcc>
    <rcc rId="0" sId="1" dxf="1">
      <nc r="C204" t="inlineStr">
        <is>
          <t>02 1 И8 9Д11Л</t>
        </is>
      </nc>
      <ndxf>
        <font>
          <sz val="12"/>
          <color rgb="FFFF0000"/>
          <name val="Times New Roman"/>
          <family val="1"/>
          <scheme val="none"/>
        </font>
        <numFmt numFmtId="30" formatCode="@"/>
        <alignment horizontal="center" wrapText="1"/>
      </ndxf>
    </rcc>
    <rcc rId="0" sId="1" s="1" dxf="1">
      <nc r="D204" t="inlineStr">
        <is>
          <t>200</t>
        </is>
      </nc>
      <n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ndxf>
    </rcc>
    <rcc rId="0" sId="1" dxf="1" numFmtId="4">
      <nc r="E204">
        <v>0</v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04">
        <f>37139.8-37139.8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204">
        <v>0</v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</rrc>
  <rcc rId="576" sId="1">
    <oc r="E167">
      <f>E168+E170+E172+E174+E176+E178+E180+E182+E188+E184+E186+E190+E192+E194+E196+E198+E200+E202+#REF!+E204+E208+E206</f>
    </oc>
    <nc r="E167">
      <f>E168+E170+E172+E174+E176+E178+E180+E182+E188+E184+E186+E190+E192+E194+E196+E198+E200+E202+E204+E208+E206</f>
    </nc>
  </rcc>
  <rcc rId="577" sId="1">
    <oc r="F167">
      <f>F168+F170+F172+F174+F176+F178+F180+F182+F188+F184+F186+F190+F192+F194+F196+F198+F200+F202+#REF!+F204+F208+F206</f>
    </oc>
    <nc r="F167">
      <f>F168+F170+F172+F174+F176+F178+F180+F182+F188+F184+F186+F190+F192+F194+F196+F198+F200+F202+F204+F208+F206</f>
    </nc>
  </rcc>
  <rcc rId="578" sId="1">
    <oc r="G167">
      <f>G168+G170+G172+G174+G176+G178+G180+G182+G188+G184+G186+G190+G192+G194+G196+G198+G200+G202+#REF!+G204+G208+G206</f>
    </oc>
    <nc r="G167">
      <f>G168+G170+G172+G174+G176+G178+G180+G182+G188+G184+G186+G190+G192+G194+G196+G198+G200+G202+G204+G208+G206</f>
    </nc>
  </rc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FilterData" hidden="1" oldHidden="1">
    <formula>рпр!$A$8:$G$845</formula>
    <oldFormula>рпр!$A$8:$G$845</oldFormula>
  </rdn>
  <rcv guid="{2A135292-D5EB-4A8D-A93E-D0B24F2543E0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1" sId="1" ref="A85:XFD85" action="insertRow">
    <undo index="65535" exp="area" ref3D="1" dr="$A$843:$XFD$845" dn="Z_1CA6CCC9_64EF_4CA9_9C9C_1E572976D134_.wvu.Rows" sId="1"/>
    <undo index="65535" exp="area" ref3D="1" dr="$A$838:$XFD$840" dn="Z_1CA6CCC9_64EF_4CA9_9C9C_1E572976D134_.wvu.Rows" sId="1"/>
    <undo index="65535" exp="area" ref3D="1" dr="$A$815:$XFD$835" dn="Z_1CA6CCC9_64EF_4CA9_9C9C_1E572976D134_.wvu.Rows" sId="1"/>
    <undo index="65535" exp="area" ref3D="1" dr="$A$795:$XFD$813" dn="Z_1CA6CCC9_64EF_4CA9_9C9C_1E572976D134_.wvu.Rows" sId="1"/>
    <undo index="65535" exp="area" ref3D="1" dr="$A$789:$XFD$793" dn="Z_1CA6CCC9_64EF_4CA9_9C9C_1E572976D134_.wvu.Rows" sId="1"/>
    <undo index="65535" exp="area" ref3D="1" dr="$A$757:$XFD$786" dn="Z_1CA6CCC9_64EF_4CA9_9C9C_1E572976D134_.wvu.Rows" sId="1"/>
    <undo index="65535" exp="area" ref3D="1" dr="$A$742:$XFD$755" dn="Z_1CA6CCC9_64EF_4CA9_9C9C_1E572976D134_.wvu.Rows" sId="1"/>
    <undo index="65535" exp="area" ref3D="1" dr="$A$738:$XFD$740" dn="Z_1CA6CCC9_64EF_4CA9_9C9C_1E572976D134_.wvu.Rows" sId="1"/>
    <undo index="65535" exp="area" ref3D="1" dr="$A$714:$XFD$735" dn="Z_1CA6CCC9_64EF_4CA9_9C9C_1E572976D134_.wvu.Rows" sId="1"/>
    <undo index="65535" exp="area" ref3D="1" dr="$A$693:$XFD$712" dn="Z_1CA6CCC9_64EF_4CA9_9C9C_1E572976D134_.wvu.Rows" sId="1"/>
    <undo index="65535" exp="area" ref3D="1" dr="$A$646:$XFD$690" dn="Z_1CA6CCC9_64EF_4CA9_9C9C_1E572976D134_.wvu.Rows" sId="1"/>
    <undo index="65535" exp="area" ref3D="1" dr="$A$628:$XFD$644" dn="Z_1CA6CCC9_64EF_4CA9_9C9C_1E572976D134_.wvu.Rows" sId="1"/>
    <undo index="65535" exp="area" ref3D="1" dr="$A$605:$XFD$626" dn="Z_1CA6CCC9_64EF_4CA9_9C9C_1E572976D134_.wvu.Rows" sId="1"/>
    <undo index="65535" exp="area" ref3D="1" dr="$A$540:$XFD$603" dn="Z_1CA6CCC9_64EF_4CA9_9C9C_1E572976D134_.wvu.Rows" sId="1"/>
    <undo index="65535" exp="area" ref3D="1" dr="$A$518:$XFD$538" dn="Z_1CA6CCC9_64EF_4CA9_9C9C_1E572976D134_.wvu.Rows" sId="1"/>
    <undo index="65535" exp="area" ref3D="1" dr="$A$511:$XFD$515" dn="Z_1CA6CCC9_64EF_4CA9_9C9C_1E572976D134_.wvu.Rows" sId="1"/>
    <undo index="65535" exp="area" ref3D="1" dr="$A$489:$XFD$508" dn="Z_1CA6CCC9_64EF_4CA9_9C9C_1E572976D134_.wvu.Rows" sId="1"/>
    <undo index="65535" exp="area" ref3D="1" dr="$A$412:$XFD$487" dn="Z_1CA6CCC9_64EF_4CA9_9C9C_1E572976D134_.wvu.Rows" sId="1"/>
    <undo index="65535" exp="area" ref3D="1" dr="$A$317:$XFD$410" dn="Z_1CA6CCC9_64EF_4CA9_9C9C_1E572976D134_.wvu.Rows" sId="1"/>
    <undo index="65535" exp="area" ref3D="1" dr="$A$285:$XFD$315" dn="Z_1CA6CCC9_64EF_4CA9_9C9C_1E572976D134_.wvu.Rows" sId="1"/>
    <undo index="65535" exp="area" ref3D="1" dr="$A$258:$XFD$282" dn="Z_1CA6CCC9_64EF_4CA9_9C9C_1E572976D134_.wvu.Rows" sId="1"/>
    <undo index="65535" exp="area" ref3D="1" dr="$A$165:$XFD$256" dn="Z_1CA6CCC9_64EF_4CA9_9C9C_1E572976D134_.wvu.Rows" sId="1"/>
    <undo index="65535" exp="area" ref3D="1" dr="$A$153:$XFD$163" dn="Z_1CA6CCC9_64EF_4CA9_9C9C_1E572976D134_.wvu.Rows" sId="1"/>
    <undo index="65535" exp="area" ref3D="1" dr="$A$143:$XFD$151" dn="Z_1CA6CCC9_64EF_4CA9_9C9C_1E572976D134_.wvu.Rows" sId="1"/>
    <undo index="65535" exp="area" ref3D="1" dr="$A$123:$XFD$140" dn="Z_1CA6CCC9_64EF_4CA9_9C9C_1E572976D134_.wvu.Rows" sId="1"/>
    <undo index="1" exp="area" ref3D="1" dr="$A$12:$XFD$121" dn="Z_1CA6CCC9_64EF_4CA9_9C9C_1E572976D134_.wvu.Rows" sId="1"/>
  </rrc>
  <rcc rId="582" sId="1" odxf="1" dxf="1">
    <nc r="A85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alignment horizontal="left"/>
    </odxf>
    <ndxf>
      <font>
        <sz val="12"/>
        <name val="Times New Roman"/>
        <family val="1"/>
      </font>
      <alignment horizontal="general"/>
    </ndxf>
  </rcc>
  <rcc rId="583" sId="1" odxf="1" dxf="1">
    <nc r="B85" t="inlineStr">
      <is>
        <t>0113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584" sId="1" odxf="1" dxf="1">
    <nc r="C85" t="inlineStr">
      <is>
        <t>00 0 00 70021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585" sId="1" odxf="1" dxf="1">
    <nc r="D85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A85:XFD85" start="0" length="2147483647">
    <dxf>
      <font>
        <color rgb="FFFF0000"/>
      </font>
    </dxf>
  </rfmt>
  <rcc rId="586" sId="1">
    <oc r="E84">
      <f>E86</f>
    </oc>
    <nc r="E84">
      <f>E86+E85</f>
    </nc>
  </rcc>
  <rcc rId="587" sId="1">
    <oc r="F84">
      <f>F86</f>
    </oc>
    <nc r="F84">
      <f>F86+F85</f>
    </nc>
  </rcc>
  <rcc rId="588" sId="1" odxf="1" s="1" dxf="1">
    <oc r="G84">
      <f>G86</f>
    </oc>
    <nc r="G84">
      <f>G86+G85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589" sId="1">
    <oc r="E86">
      <f>115+45</f>
    </oc>
    <nc r="E86">
      <f>115</f>
    </nc>
  </rcc>
  <rcc rId="590" sId="1" numFmtId="4">
    <nc r="E85">
      <v>45</v>
    </nc>
  </rcc>
  <rcc rId="591" sId="1" numFmtId="4">
    <nc r="F85">
      <v>0</v>
    </nc>
  </rcc>
  <rcc rId="592" sId="1" numFmtId="4">
    <nc r="G85">
      <v>0</v>
    </nc>
  </rc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FilterData" hidden="1" oldHidden="1">
    <formula>рпр!$A$8:$G$846</formula>
    <oldFormula>рпр!$A$8:$G$846</oldFormula>
  </rdn>
  <rcv guid="{2A135292-D5EB-4A8D-A93E-D0B24F2543E0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5" sId="1" ref="A51:XFD51" action="insertRow">
    <undo index="65535" exp="area" ref3D="1" dr="$A$844:$XFD$846" dn="Z_1CA6CCC9_64EF_4CA9_9C9C_1E572976D134_.wvu.Rows" sId="1"/>
    <undo index="65535" exp="area" ref3D="1" dr="$A$839:$XFD$841" dn="Z_1CA6CCC9_64EF_4CA9_9C9C_1E572976D134_.wvu.Rows" sId="1"/>
    <undo index="65535" exp="area" ref3D="1" dr="$A$816:$XFD$836" dn="Z_1CA6CCC9_64EF_4CA9_9C9C_1E572976D134_.wvu.Rows" sId="1"/>
    <undo index="65535" exp="area" ref3D="1" dr="$A$796:$XFD$814" dn="Z_1CA6CCC9_64EF_4CA9_9C9C_1E572976D134_.wvu.Rows" sId="1"/>
    <undo index="65535" exp="area" ref3D="1" dr="$A$790:$XFD$794" dn="Z_1CA6CCC9_64EF_4CA9_9C9C_1E572976D134_.wvu.Rows" sId="1"/>
    <undo index="65535" exp="area" ref3D="1" dr="$A$758:$XFD$787" dn="Z_1CA6CCC9_64EF_4CA9_9C9C_1E572976D134_.wvu.Rows" sId="1"/>
    <undo index="65535" exp="area" ref3D="1" dr="$A$743:$XFD$756" dn="Z_1CA6CCC9_64EF_4CA9_9C9C_1E572976D134_.wvu.Rows" sId="1"/>
    <undo index="65535" exp="area" ref3D="1" dr="$A$739:$XFD$741" dn="Z_1CA6CCC9_64EF_4CA9_9C9C_1E572976D134_.wvu.Rows" sId="1"/>
    <undo index="65535" exp="area" ref3D="1" dr="$A$715:$XFD$736" dn="Z_1CA6CCC9_64EF_4CA9_9C9C_1E572976D134_.wvu.Rows" sId="1"/>
    <undo index="65535" exp="area" ref3D="1" dr="$A$694:$XFD$713" dn="Z_1CA6CCC9_64EF_4CA9_9C9C_1E572976D134_.wvu.Rows" sId="1"/>
    <undo index="65535" exp="area" ref3D="1" dr="$A$647:$XFD$691" dn="Z_1CA6CCC9_64EF_4CA9_9C9C_1E572976D134_.wvu.Rows" sId="1"/>
    <undo index="65535" exp="area" ref3D="1" dr="$A$629:$XFD$645" dn="Z_1CA6CCC9_64EF_4CA9_9C9C_1E572976D134_.wvu.Rows" sId="1"/>
    <undo index="65535" exp="area" ref3D="1" dr="$A$606:$XFD$627" dn="Z_1CA6CCC9_64EF_4CA9_9C9C_1E572976D134_.wvu.Rows" sId="1"/>
    <undo index="65535" exp="area" ref3D="1" dr="$A$541:$XFD$604" dn="Z_1CA6CCC9_64EF_4CA9_9C9C_1E572976D134_.wvu.Rows" sId="1"/>
    <undo index="65535" exp="area" ref3D="1" dr="$A$519:$XFD$539" dn="Z_1CA6CCC9_64EF_4CA9_9C9C_1E572976D134_.wvu.Rows" sId="1"/>
    <undo index="65535" exp="area" ref3D="1" dr="$A$512:$XFD$516" dn="Z_1CA6CCC9_64EF_4CA9_9C9C_1E572976D134_.wvu.Rows" sId="1"/>
    <undo index="65535" exp="area" ref3D="1" dr="$A$490:$XFD$509" dn="Z_1CA6CCC9_64EF_4CA9_9C9C_1E572976D134_.wvu.Rows" sId="1"/>
    <undo index="65535" exp="area" ref3D="1" dr="$A$413:$XFD$488" dn="Z_1CA6CCC9_64EF_4CA9_9C9C_1E572976D134_.wvu.Rows" sId="1"/>
    <undo index="65535" exp="area" ref3D="1" dr="$A$318:$XFD$411" dn="Z_1CA6CCC9_64EF_4CA9_9C9C_1E572976D134_.wvu.Rows" sId="1"/>
    <undo index="65535" exp="area" ref3D="1" dr="$A$286:$XFD$316" dn="Z_1CA6CCC9_64EF_4CA9_9C9C_1E572976D134_.wvu.Rows" sId="1"/>
    <undo index="65535" exp="area" ref3D="1" dr="$A$259:$XFD$283" dn="Z_1CA6CCC9_64EF_4CA9_9C9C_1E572976D134_.wvu.Rows" sId="1"/>
    <undo index="65535" exp="area" ref3D="1" dr="$A$166:$XFD$257" dn="Z_1CA6CCC9_64EF_4CA9_9C9C_1E572976D134_.wvu.Rows" sId="1"/>
    <undo index="65535" exp="area" ref3D="1" dr="$A$154:$XFD$164" dn="Z_1CA6CCC9_64EF_4CA9_9C9C_1E572976D134_.wvu.Rows" sId="1"/>
    <undo index="65535" exp="area" ref3D="1" dr="$A$144:$XFD$152" dn="Z_1CA6CCC9_64EF_4CA9_9C9C_1E572976D134_.wvu.Rows" sId="1"/>
    <undo index="65535" exp="area" ref3D="1" dr="$A$124:$XFD$141" dn="Z_1CA6CCC9_64EF_4CA9_9C9C_1E572976D134_.wvu.Rows" sId="1"/>
    <undo index="1" exp="area" ref3D="1" dr="$A$12:$XFD$122" dn="Z_1CA6CCC9_64EF_4CA9_9C9C_1E572976D134_.wvu.Rows" sId="1"/>
  </rrc>
  <rcc rId="596" sId="1" odxf="1" dxf="1">
    <nc r="A51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numFmt numFmtId="0" formatCode="General"/>
    </odxf>
    <ndxf>
      <font>
        <sz val="12"/>
        <name val="Times New Roman"/>
        <family val="1"/>
      </font>
      <numFmt numFmtId="1" formatCode="0"/>
    </ndxf>
  </rcc>
  <rcc rId="597" sId="1" odxf="1" s="1" dxf="1">
    <nc r="B51" t="inlineStr">
      <is>
        <t>0105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598" sId="1" odxf="1" s="1" dxf="1">
    <nc r="C51" t="inlineStr">
      <is>
        <t>00 1 00 51200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599" sId="1" odxf="1" dxf="1">
    <nc r="D51" t="inlineStr">
      <is>
        <t>200</t>
      </is>
    </nc>
    <odxf>
      <font>
        <sz val="12"/>
        <name val="Times New Roman"/>
        <family val="1"/>
      </font>
      <numFmt numFmtId="0" formatCode="General"/>
    </odxf>
    <ndxf>
      <font>
        <sz val="12"/>
        <name val="Times New Roman"/>
        <family val="1"/>
      </font>
      <numFmt numFmtId="30" formatCode="@"/>
    </ndxf>
  </rcc>
  <rfmt sheetId="1" sqref="A51:XFD51" start="0" length="2147483647">
    <dxf>
      <font>
        <color rgb="FFFF0000"/>
      </font>
    </dxf>
  </rfmt>
  <rcc rId="600" sId="1">
    <oc r="E50">
      <f>E52</f>
    </oc>
    <nc r="E50">
      <f>E51+E52</f>
    </nc>
  </rcc>
  <rcc rId="601" sId="1">
    <oc r="F50">
      <f>F52</f>
    </oc>
    <nc r="F50">
      <f>F51+F52</f>
    </nc>
  </rcc>
  <rcc rId="602" sId="1" odxf="1" s="1" dxf="1">
    <oc r="G50">
      <f>G52</f>
    </oc>
    <nc r="G50">
      <f>G51+G52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603" sId="1" numFmtId="4">
    <nc r="E51">
      <v>6.7</v>
    </nc>
  </rcc>
  <rcc rId="604" sId="1">
    <oc r="E52">
      <f>30.2-12.5</f>
    </oc>
    <nc r="E52">
      <f>30.2-12.5-6.7</f>
    </nc>
  </rcc>
  <rcc rId="605" sId="1" numFmtId="4">
    <nc r="F51">
      <v>0</v>
    </nc>
  </rcc>
  <rcc rId="606" sId="1" numFmtId="4">
    <nc r="G51">
      <v>0</v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FilterData" hidden="1" oldHidden="1">
    <formula>рпр!$A$8:$G$847</formula>
    <oldFormula>рпр!$A$8:$G$847</oldFormula>
  </rdn>
  <rcv guid="{2A135292-D5EB-4A8D-A93E-D0B24F2543E0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 odxf="1" dxf="1">
    <oc r="A224" t="inlineStr">
      <is>
        <t>Устройство наружного освещения с.Белогорье по ул . Заводская на участке (от Родника до ул. Заводская .д. 7 (автобусная остановка))</t>
      </is>
    </oc>
    <nc r="A224" t="inlineStr">
      <is>
        <t>Устройство наружного освещения                        с. Белогорье по ул. Заводская на участке (от Родника до ул. Заводская д. 7 (автобусная остановка)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color rgb="FFFF0000"/>
        <name val="Times New Roman"/>
        <family val="1"/>
      </font>
      <fill>
        <patternFill patternType="solid">
          <bgColor rgb="FFFFFF00"/>
        </patternFill>
      </fill>
    </ndxf>
  </rc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Rows" hidden="1" oldHidden="1">
    <formula>рпр!$12:$123,рпр!$144:$284,рпр!$512:$517,рпр!$519:$692,рпр!$694:$737,рпр!$739:$788,рпр!$790:$837,рпр!$839:$842,рпр!$844:$847</formula>
  </rdn>
  <rdn rId="0" localSheetId="1" customView="1" name="Z_2A135292_D5EB_4A8D_A93E_D0B24F2543E0_.wvu.FilterData" hidden="1" oldHidden="1">
    <formula>рпр!$C$1:$C$865</formula>
    <oldFormula>рпр!$A$8:$G$847</oldFormula>
  </rdn>
  <rcv guid="{2A135292-D5EB-4A8D-A93E-D0B24F2543E0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XFD1048576" start="0" length="2147483647">
    <dxf>
      <font>
        <color auto="1"/>
      </font>
    </dxf>
  </rfmt>
  <rfmt sheetId="1" sqref="A1:XFD1048576">
    <dxf>
      <fill>
        <patternFill patternType="none">
          <bgColor auto="1"/>
        </patternFill>
      </fill>
    </dxf>
  </rfmt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Rows" hidden="1" oldHidden="1">
    <formula>рпр!$12:$123,рпр!$144:$284,рпр!$512:$517,рпр!$519:$692,рпр!$694:$737,рпр!$739:$788,рпр!$790:$837,рпр!$839:$842,рпр!$844:$847</formula>
    <oldFormula>рпр!$12:$123,рпр!$144:$284,рпр!$512:$517,рпр!$519:$692,рпр!$694:$737,рпр!$739:$788,рпр!$790:$837,рпр!$839:$842,рпр!$844:$847</oldFormula>
  </rdn>
  <rdn rId="0" localSheetId="1" customView="1" name="Z_2A135292_D5EB_4A8D_A93E_D0B24F2543E0_.wvu.FilterData" hidden="1" oldHidden="1">
    <formula>рпр!$C$1:$C$865</formula>
    <oldFormula>рпр!$C$1:$C$865</oldFormula>
  </rdn>
  <rcv guid="{2A135292-D5EB-4A8D-A93E-D0B24F2543E0}" action="add"/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" sId="1">
    <nc r="F2" t="inlineStr">
      <is>
        <t>от 26.06.2025 № 14/69</t>
      </is>
    </nc>
  </rc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Rows" hidden="1" oldHidden="1">
    <formula>рпр!$12:$123,рпр!$144:$284,рпр!$512:$517,рпр!$519:$692,рпр!$694:$737,рпр!$739:$788,рпр!$790:$837,рпр!$839:$842,рпр!$844:$847</formula>
    <oldFormula>рпр!$12:$123,рпр!$144:$284,рпр!$512:$517,рпр!$519:$692,рпр!$694:$737,рпр!$739:$788,рпр!$790:$837,рпр!$839:$842,рпр!$844:$847</oldFormula>
  </rdn>
  <rdn rId="0" localSheetId="1" customView="1" name="Z_2A135292_D5EB_4A8D_A93E_D0B24F2543E0_.wvu.FilterData" hidden="1" oldHidden="1">
    <formula>рпр!$C$1:$C$865</formula>
    <oldFormula>рпр!$C$1:$C$865</oldFormula>
  </rdn>
  <rcv guid="{2A135292-D5EB-4A8D-A93E-D0B24F2543E0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0" sId="1" numFmtId="4">
    <oc r="E274">
      <v>1047.2</v>
    </oc>
    <nc r="E274">
      <f>E275</f>
    </nc>
  </rcc>
  <rcc rId="621" sId="1" numFmtId="4">
    <oc r="F274">
      <v>793.9</v>
    </oc>
    <nc r="F274">
      <f>F275</f>
    </nc>
  </rcc>
  <rcc rId="622" sId="1" numFmtId="4">
    <oc r="G274">
      <v>793.9</v>
    </oc>
    <nc r="G274">
      <f>G275</f>
    </nc>
  </rc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Rows" hidden="1" oldHidden="1">
    <formula>рпр!$12:$123,рпр!$512:$517,рпр!$519:$692,рпр!$694:$737,рпр!$739:$788,рпр!$790:$837,рпр!$839:$842,рпр!$844:$847</formula>
    <oldFormula>рпр!$12:$123,рпр!$144:$284,рпр!$512:$517,рпр!$519:$692,рпр!$694:$737,рпр!$739:$788,рпр!$790:$837,рпр!$839:$842,рпр!$844:$847</oldFormula>
  </rdn>
  <rdn rId="0" localSheetId="1" customView="1" name="Z_2A135292_D5EB_4A8D_A93E_D0B24F2543E0_.wvu.FilterData" hidden="1" oldHidden="1">
    <formula>рпр!$C$1:$C$865</formula>
    <oldFormula>рпр!$C$1:$C$865</oldFormula>
  </rdn>
  <rcv guid="{2A135292-D5EB-4A8D-A93E-D0B24F2543E0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" sId="1">
    <oc r="E61">
      <f>125000-1421.6-350-7325.6-62561.8-1114+63941.6+40840.1-653.4-653.9-607.6-1141.3-13975-4658.9-1622-881.7-11050.9-11464.5-7687.8+123450.6-3899.5-13526.2-1284.3-8815.8+34682.1</f>
    </oc>
    <nc r="E61">
      <f>125000-1421.6-350-7325.6-62561.8-1114+63941.6+40840.1-653.4-653.9-607.6-1141.3-13975-4658.9-1622-881.7-11050.9-11464.5-7687.8+123450.6-3899.5-13526.2-1284.3-8815.8-34682.1+25859.8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6" sId="1" xfDxf="1" dxf="1">
    <nc r="F5" t="inlineStr">
      <is>
        <t>(в ред. от  26.06.2025  № 14/69)</t>
      </is>
    </nc>
    <ndxf>
      <font>
        <sz val="12"/>
        <color auto="1"/>
        <name val="Times New Roman"/>
        <family val="1"/>
        <scheme val="none"/>
      </font>
      <numFmt numFmtId="164" formatCode="#,##0.0"/>
      <alignment horizontal="left" vertical="top"/>
    </ndxf>
  </rcc>
  <rrc rId="627" sId="1" ref="A1:XFD1" action="deleteRow">
    <undo index="65535" exp="area" ref3D="1" dr="$A$9:$XFD$10" dn="Z_FD876D40_493A_470C_A137_1F7C6C6DA01D_.wvu.PrintTitles" sId="1"/>
    <undo index="65535" exp="area" ref3D="1" dr="$A$9:$XFD$10" dn="Заголовки_для_печати" sId="1"/>
    <undo index="65535" exp="area" ref3D="1" dr="$A$9:$XFD$10" dn="Z_1CA6CCC9_64EF_4CA9_9C9C_1E572976D134_.wvu.PrintTitles" sId="1"/>
    <undo index="65535" exp="area" ref3D="1" dr="$A$9:$XFD$10" dn="Z_61C84D61_2D1A_4C38_8F3E_B87673D547A5_.wvu.PrintTitles" sId="1"/>
    <undo index="65535" exp="area" ref3D="1" dr="$A$9:$XFD$10" dn="Z_AA62EF5A_85DE_4BC8_95D5_4F54CE8CF3D6_.wvu.PrintTitles" sId="1"/>
    <undo index="65535" exp="area" ref3D="1" dr="$A$9:$XFD$10" dn="Z_2A135292_D5EB_4A8D_A93E_D0B24F2543E0_.wvu.PrintTitles" sId="1"/>
    <undo index="65535" exp="area" ref3D="1" dr="$A$845:$XFD$847" dn="Z_1CA6CCC9_64EF_4CA9_9C9C_1E572976D134_.wvu.Rows" sId="1"/>
    <undo index="65535" exp="area" ref3D="1" dr="$A$840:$XFD$842" dn="Z_1CA6CCC9_64EF_4CA9_9C9C_1E572976D134_.wvu.Rows" sId="1"/>
    <undo index="65535" exp="area" ref3D="1" dr="$A$817:$XFD$837" dn="Z_1CA6CCC9_64EF_4CA9_9C9C_1E572976D134_.wvu.Rows" sId="1"/>
    <undo index="65535" exp="area" ref3D="1" dr="$A$797:$XFD$815" dn="Z_1CA6CCC9_64EF_4CA9_9C9C_1E572976D134_.wvu.Rows" sId="1"/>
    <undo index="65535" exp="area" ref3D="1" dr="$A$791:$XFD$795" dn="Z_1CA6CCC9_64EF_4CA9_9C9C_1E572976D134_.wvu.Rows" sId="1"/>
    <undo index="65535" exp="area" ref3D="1" dr="$A$759:$XFD$788" dn="Z_1CA6CCC9_64EF_4CA9_9C9C_1E572976D134_.wvu.Rows" sId="1"/>
    <undo index="65535" exp="area" ref3D="1" dr="$A$744:$XFD$757" dn="Z_1CA6CCC9_64EF_4CA9_9C9C_1E572976D134_.wvu.Rows" sId="1"/>
    <undo index="65535" exp="area" ref3D="1" dr="$A$740:$XFD$742" dn="Z_1CA6CCC9_64EF_4CA9_9C9C_1E572976D134_.wvu.Rows" sId="1"/>
    <undo index="65535" exp="area" ref3D="1" dr="$A$716:$XFD$737" dn="Z_1CA6CCC9_64EF_4CA9_9C9C_1E572976D134_.wvu.Rows" sId="1"/>
    <undo index="65535" exp="area" ref3D="1" dr="$A$695:$XFD$714" dn="Z_1CA6CCC9_64EF_4CA9_9C9C_1E572976D134_.wvu.Rows" sId="1"/>
    <undo index="65535" exp="area" ref3D="1" dr="$A$648:$XFD$692" dn="Z_1CA6CCC9_64EF_4CA9_9C9C_1E572976D134_.wvu.Rows" sId="1"/>
    <undo index="65535" exp="area" ref3D="1" dr="$A$630:$XFD$646" dn="Z_1CA6CCC9_64EF_4CA9_9C9C_1E572976D134_.wvu.Rows" sId="1"/>
    <undo index="65535" exp="area" ref3D="1" dr="$A$607:$XFD$628" dn="Z_1CA6CCC9_64EF_4CA9_9C9C_1E572976D134_.wvu.Rows" sId="1"/>
    <undo index="65535" exp="area" ref3D="1" dr="$A$542:$XFD$605" dn="Z_1CA6CCC9_64EF_4CA9_9C9C_1E572976D134_.wvu.Rows" sId="1"/>
    <undo index="65535" exp="area" ref3D="1" dr="$A$520:$XFD$540" dn="Z_1CA6CCC9_64EF_4CA9_9C9C_1E572976D134_.wvu.Rows" sId="1"/>
    <undo index="65535" exp="area" ref3D="1" dr="$A$513:$XFD$517" dn="Z_1CA6CCC9_64EF_4CA9_9C9C_1E572976D134_.wvu.Rows" sId="1"/>
    <undo index="65535" exp="area" ref3D="1" dr="$A$491:$XFD$510" dn="Z_1CA6CCC9_64EF_4CA9_9C9C_1E572976D134_.wvu.Rows" sId="1"/>
    <undo index="65535" exp="area" ref3D="1" dr="$A$414:$XFD$489" dn="Z_1CA6CCC9_64EF_4CA9_9C9C_1E572976D134_.wvu.Rows" sId="1"/>
    <undo index="65535" exp="area" ref3D="1" dr="$A$319:$XFD$412" dn="Z_1CA6CCC9_64EF_4CA9_9C9C_1E572976D134_.wvu.Rows" sId="1"/>
    <undo index="65535" exp="area" ref3D="1" dr="$A$287:$XFD$317" dn="Z_1CA6CCC9_64EF_4CA9_9C9C_1E572976D134_.wvu.Rows" sId="1"/>
    <undo index="65535" exp="area" ref3D="1" dr="$A$260:$XFD$284" dn="Z_1CA6CCC9_64EF_4CA9_9C9C_1E572976D134_.wvu.Rows" sId="1"/>
    <undo index="65535" exp="area" ref3D="1" dr="$A$167:$XFD$258" dn="Z_1CA6CCC9_64EF_4CA9_9C9C_1E572976D134_.wvu.Rows" sId="1"/>
    <undo index="65535" exp="area" ref3D="1" dr="$A$155:$XFD$165" dn="Z_1CA6CCC9_64EF_4CA9_9C9C_1E572976D134_.wvu.Rows" sId="1"/>
    <undo index="65535" exp="area" ref3D="1" dr="$A$145:$XFD$153" dn="Z_1CA6CCC9_64EF_4CA9_9C9C_1E572976D134_.wvu.Rows" sId="1"/>
    <undo index="65535" exp="area" ref3D="1" dr="$A$125:$XFD$142" dn="Z_1CA6CCC9_64EF_4CA9_9C9C_1E572976D134_.wvu.Rows" sId="1"/>
    <undo index="1" exp="area" ref3D="1" dr="$A$12:$XFD$123" dn="Z_1CA6CCC9_64EF_4CA9_9C9C_1E572976D134_.wvu.Rows" sId="1"/>
    <undo index="65535" exp="area" ref3D="1" dr="$A$9:$XFD$10" dn="Z_23A5EAB7_7745_45A3_8BB4_D6186958C7BF_.wvu.PrintTitles" sId="1"/>
    <undo index="65535" exp="area" ref3D="1" dr="$A$844:$XFD$847" dn="Z_2A135292_D5EB_4A8D_A93E_D0B24F2543E0_.wvu.Rows" sId="1"/>
    <undo index="65535" exp="area" ref3D="1" dr="$A$839:$XFD$842" dn="Z_2A135292_D5EB_4A8D_A93E_D0B24F2543E0_.wvu.Rows" sId="1"/>
    <undo index="65535" exp="area" ref3D="1" dr="$A$790:$XFD$837" dn="Z_2A135292_D5EB_4A8D_A93E_D0B24F2543E0_.wvu.Rows" sId="1"/>
    <undo index="65535" exp="area" ref3D="1" dr="$A$739:$XFD$788" dn="Z_2A135292_D5EB_4A8D_A93E_D0B24F2543E0_.wvu.Rows" sId="1"/>
    <undo index="65535" exp="area" ref3D="1" dr="$A$694:$XFD$737" dn="Z_2A135292_D5EB_4A8D_A93E_D0B24F2543E0_.wvu.Rows" sId="1"/>
    <undo index="65535" exp="area" ref3D="1" dr="$A$519:$XFD$692" dn="Z_2A135292_D5EB_4A8D_A93E_D0B24F2543E0_.wvu.Rows" sId="1"/>
    <undo index="65535" exp="area" ref3D="1" dr="$A$512:$XFD$517" dn="Z_2A135292_D5EB_4A8D_A93E_D0B24F2543E0_.wvu.Rows" sId="1"/>
    <undo index="1" exp="area" ref3D="1" dr="$A$12:$XFD$123" dn="Z_2A135292_D5EB_4A8D_A93E_D0B24F2543E0_.wvu.Rows" sId="1"/>
    <undo index="65535" exp="area" ref3D="1" dr="$A$9:$XFD$10" dn="Z_98E64474_CDF2_4660_977D_8A2058B27A2F_.wvu.PrintTitles" sId="1"/>
    <undo index="65535" exp="area" ref3D="1" dr="$C$1:$C$865" dn="Z_2A135292_D5EB_4A8D_A93E_D0B24F2543E0_.wvu.FilterData" sId="1"/>
    <undo index="65535" exp="area" ref3D="1" dr="$C$1:$C$865" dn="_ФильтрБазыДанных" sId="1"/>
    <rfmt sheetId="1" xfDxf="1" sqref="A1:XFD1" start="0" length="0">
      <dxf>
        <font>
          <color auto="1"/>
          <name val="Times New Roman"/>
          <family val="1"/>
          <scheme val="none"/>
        </font>
        <alignment horizontal="left" vertical="top"/>
      </dxf>
    </rfmt>
    <rfmt sheetId="1" sqref="A1" start="0" length="0">
      <dxf>
        <font>
          <sz val="12"/>
          <color auto="1"/>
          <name val="Times New Roman"/>
          <family val="1"/>
          <scheme val="none"/>
        </font>
        <alignment wrapText="1"/>
      </dxf>
    </rfmt>
    <rfmt sheetId="1" sqref="B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C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D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qref="E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cc rId="0" sId="1" dxf="1">
      <nc r="F1" t="inlineStr">
        <is>
          <t>Приложение № 2
к решению Благовещенской 
городской Думы</t>
        </is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wrapText="1"/>
      </ndxf>
    </rcc>
    <rfmt sheetId="1" sqref="G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wrapText="1"/>
      </dxf>
    </rfmt>
  </rrc>
  <rrc rId="628" sId="1" ref="A1:XFD1" action="deleteRow">
    <undo index="65535" exp="area" ref3D="1" dr="$A$8:$XFD$9" dn="Z_FD876D40_493A_470C_A137_1F7C6C6DA01D_.wvu.PrintTitles" sId="1"/>
    <undo index="65535" exp="area" ref3D="1" dr="$A$8:$XFD$9" dn="Заголовки_для_печати" sId="1"/>
    <undo index="65535" exp="area" ref3D="1" dr="$A$8:$XFD$9" dn="Z_1CA6CCC9_64EF_4CA9_9C9C_1E572976D134_.wvu.PrintTitles" sId="1"/>
    <undo index="65535" exp="area" ref3D="1" dr="$A$8:$XFD$9" dn="Z_61C84D61_2D1A_4C38_8F3E_B87673D547A5_.wvu.PrintTitles" sId="1"/>
    <undo index="65535" exp="area" ref3D="1" dr="$A$8:$XFD$9" dn="Z_AA62EF5A_85DE_4BC8_95D5_4F54CE8CF3D6_.wvu.PrintTitles" sId="1"/>
    <undo index="65535" exp="area" ref3D="1" dr="$A$8:$XFD$9" dn="Z_2A135292_D5EB_4A8D_A93E_D0B24F2543E0_.wvu.PrintTitles" sId="1"/>
    <undo index="65535" exp="area" ref3D="1" dr="$A$844:$XFD$846" dn="Z_1CA6CCC9_64EF_4CA9_9C9C_1E572976D134_.wvu.Rows" sId="1"/>
    <undo index="65535" exp="area" ref3D="1" dr="$A$839:$XFD$841" dn="Z_1CA6CCC9_64EF_4CA9_9C9C_1E572976D134_.wvu.Rows" sId="1"/>
    <undo index="65535" exp="area" ref3D="1" dr="$A$816:$XFD$836" dn="Z_1CA6CCC9_64EF_4CA9_9C9C_1E572976D134_.wvu.Rows" sId="1"/>
    <undo index="65535" exp="area" ref3D="1" dr="$A$796:$XFD$814" dn="Z_1CA6CCC9_64EF_4CA9_9C9C_1E572976D134_.wvu.Rows" sId="1"/>
    <undo index="65535" exp="area" ref3D="1" dr="$A$790:$XFD$794" dn="Z_1CA6CCC9_64EF_4CA9_9C9C_1E572976D134_.wvu.Rows" sId="1"/>
    <undo index="65535" exp="area" ref3D="1" dr="$A$758:$XFD$787" dn="Z_1CA6CCC9_64EF_4CA9_9C9C_1E572976D134_.wvu.Rows" sId="1"/>
    <undo index="65535" exp="area" ref3D="1" dr="$A$743:$XFD$756" dn="Z_1CA6CCC9_64EF_4CA9_9C9C_1E572976D134_.wvu.Rows" sId="1"/>
    <undo index="65535" exp="area" ref3D="1" dr="$A$739:$XFD$741" dn="Z_1CA6CCC9_64EF_4CA9_9C9C_1E572976D134_.wvu.Rows" sId="1"/>
    <undo index="65535" exp="area" ref3D="1" dr="$A$715:$XFD$736" dn="Z_1CA6CCC9_64EF_4CA9_9C9C_1E572976D134_.wvu.Rows" sId="1"/>
    <undo index="65535" exp="area" ref3D="1" dr="$A$694:$XFD$713" dn="Z_1CA6CCC9_64EF_4CA9_9C9C_1E572976D134_.wvu.Rows" sId="1"/>
    <undo index="65535" exp="area" ref3D="1" dr="$A$647:$XFD$691" dn="Z_1CA6CCC9_64EF_4CA9_9C9C_1E572976D134_.wvu.Rows" sId="1"/>
    <undo index="65535" exp="area" ref3D="1" dr="$A$629:$XFD$645" dn="Z_1CA6CCC9_64EF_4CA9_9C9C_1E572976D134_.wvu.Rows" sId="1"/>
    <undo index="65535" exp="area" ref3D="1" dr="$A$606:$XFD$627" dn="Z_1CA6CCC9_64EF_4CA9_9C9C_1E572976D134_.wvu.Rows" sId="1"/>
    <undo index="65535" exp="area" ref3D="1" dr="$A$541:$XFD$604" dn="Z_1CA6CCC9_64EF_4CA9_9C9C_1E572976D134_.wvu.Rows" sId="1"/>
    <undo index="65535" exp="area" ref3D="1" dr="$A$519:$XFD$539" dn="Z_1CA6CCC9_64EF_4CA9_9C9C_1E572976D134_.wvu.Rows" sId="1"/>
    <undo index="65535" exp="area" ref3D="1" dr="$A$512:$XFD$516" dn="Z_1CA6CCC9_64EF_4CA9_9C9C_1E572976D134_.wvu.Rows" sId="1"/>
    <undo index="65535" exp="area" ref3D="1" dr="$A$490:$XFD$509" dn="Z_1CA6CCC9_64EF_4CA9_9C9C_1E572976D134_.wvu.Rows" sId="1"/>
    <undo index="65535" exp="area" ref3D="1" dr="$A$413:$XFD$488" dn="Z_1CA6CCC9_64EF_4CA9_9C9C_1E572976D134_.wvu.Rows" sId="1"/>
    <undo index="65535" exp="area" ref3D="1" dr="$A$318:$XFD$411" dn="Z_1CA6CCC9_64EF_4CA9_9C9C_1E572976D134_.wvu.Rows" sId="1"/>
    <undo index="65535" exp="area" ref3D="1" dr="$A$286:$XFD$316" dn="Z_1CA6CCC9_64EF_4CA9_9C9C_1E572976D134_.wvu.Rows" sId="1"/>
    <undo index="65535" exp="area" ref3D="1" dr="$A$259:$XFD$283" dn="Z_1CA6CCC9_64EF_4CA9_9C9C_1E572976D134_.wvu.Rows" sId="1"/>
    <undo index="65535" exp="area" ref3D="1" dr="$A$166:$XFD$257" dn="Z_1CA6CCC9_64EF_4CA9_9C9C_1E572976D134_.wvu.Rows" sId="1"/>
    <undo index="65535" exp="area" ref3D="1" dr="$A$154:$XFD$164" dn="Z_1CA6CCC9_64EF_4CA9_9C9C_1E572976D134_.wvu.Rows" sId="1"/>
    <undo index="65535" exp="area" ref3D="1" dr="$A$144:$XFD$152" dn="Z_1CA6CCC9_64EF_4CA9_9C9C_1E572976D134_.wvu.Rows" sId="1"/>
    <undo index="65535" exp="area" ref3D="1" dr="$A$124:$XFD$141" dn="Z_1CA6CCC9_64EF_4CA9_9C9C_1E572976D134_.wvu.Rows" sId="1"/>
    <undo index="1" exp="area" ref3D="1" dr="$A$11:$XFD$122" dn="Z_1CA6CCC9_64EF_4CA9_9C9C_1E572976D134_.wvu.Rows" sId="1"/>
    <undo index="65535" exp="area" ref3D="1" dr="$A$8:$XFD$9" dn="Z_23A5EAB7_7745_45A3_8BB4_D6186958C7BF_.wvu.PrintTitles" sId="1"/>
    <undo index="65535" exp="area" ref3D="1" dr="$A$843:$XFD$846" dn="Z_2A135292_D5EB_4A8D_A93E_D0B24F2543E0_.wvu.Rows" sId="1"/>
    <undo index="65535" exp="area" ref3D="1" dr="$A$838:$XFD$841" dn="Z_2A135292_D5EB_4A8D_A93E_D0B24F2543E0_.wvu.Rows" sId="1"/>
    <undo index="65535" exp="area" ref3D="1" dr="$A$789:$XFD$836" dn="Z_2A135292_D5EB_4A8D_A93E_D0B24F2543E0_.wvu.Rows" sId="1"/>
    <undo index="65535" exp="area" ref3D="1" dr="$A$738:$XFD$787" dn="Z_2A135292_D5EB_4A8D_A93E_D0B24F2543E0_.wvu.Rows" sId="1"/>
    <undo index="65535" exp="area" ref3D="1" dr="$A$693:$XFD$736" dn="Z_2A135292_D5EB_4A8D_A93E_D0B24F2543E0_.wvu.Rows" sId="1"/>
    <undo index="65535" exp="area" ref3D="1" dr="$A$518:$XFD$691" dn="Z_2A135292_D5EB_4A8D_A93E_D0B24F2543E0_.wvu.Rows" sId="1"/>
    <undo index="65535" exp="area" ref3D="1" dr="$A$511:$XFD$516" dn="Z_2A135292_D5EB_4A8D_A93E_D0B24F2543E0_.wvu.Rows" sId="1"/>
    <undo index="1" exp="area" ref3D="1" dr="$A$11:$XFD$122" dn="Z_2A135292_D5EB_4A8D_A93E_D0B24F2543E0_.wvu.Rows" sId="1"/>
    <undo index="65535" exp="area" ref3D="1" dr="$A$8:$XFD$9" dn="Z_98E64474_CDF2_4660_977D_8A2058B27A2F_.wvu.PrintTitles" sId="1"/>
    <undo index="65535" exp="area" ref3D="1" dr="$C$1:$C$864" dn="Z_2A135292_D5EB_4A8D_A93E_D0B24F2543E0_.wvu.FilterData" sId="1"/>
    <undo index="65535" exp="area" ref3D="1" dr="$C$1:$C$864" dn="_ФильтрБазыДанных" sId="1"/>
    <rfmt sheetId="1" xfDxf="1" sqref="A1:XFD1" start="0" length="0">
      <dxf>
        <font>
          <color auto="1"/>
          <name val="Times New Roman"/>
          <family val="1"/>
          <scheme val="none"/>
        </font>
        <alignment horizontal="left" vertical="top"/>
      </dxf>
    </rfmt>
    <rfmt sheetId="1" sqref="A1" start="0" length="0">
      <dxf>
        <font>
          <sz val="12"/>
          <color auto="1"/>
          <name val="Times New Roman"/>
          <family val="1"/>
          <scheme val="none"/>
        </font>
        <alignment wrapText="1"/>
      </dxf>
    </rfmt>
    <rfmt sheetId="1" sqref="B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C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D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qref="E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cc rId="0" sId="1" dxf="1">
      <nc r="F1" t="inlineStr">
        <is>
          <t>от 26.06.2025 № 14/69</t>
        </is>
      </nc>
      <ndxf>
        <font>
          <sz val="12"/>
          <color auto="1"/>
          <name val="Times New Roman"/>
          <family val="1"/>
          <scheme val="none"/>
        </font>
        <numFmt numFmtId="164" formatCode="#,##0.0"/>
      </ndxf>
    </rcc>
    <rfmt sheetId="1" sqref="G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</rrc>
  <rcc rId="629" sId="1">
    <oc r="F1" t="inlineStr">
      <is>
        <t>"Приложение № 3
к решению Благовещенской 
городской Думы</t>
      </is>
    </oc>
    <nc r="F1" t="inlineStr">
      <is>
        <t>Приложение № 3
к решению Благовещенской 
городской Думы</t>
      </is>
    </nc>
  </rcc>
  <rdn rId="0" localSheetId="1" customView="1" name="Z_2A135292_D5EB_4A8D_A93E_D0B24F2543E0_.wvu.Rows" hidden="1" oldHidden="1">
    <oldFormula>рпр!$10:$121,рпр!$510:$515,рпр!$517:$690,рпр!$692:$735,рпр!$737:$786,рпр!$788:$835,рпр!$837:$840,рпр!$842:$845</oldFormula>
  </rdn>
  <rcv guid="{2A135292-D5EB-4A8D-A93E-D0B24F2543E0}" action="delete"/>
  <rdn rId="0" localSheetId="1" customView="1" name="Z_2A135292_D5EB_4A8D_A93E_D0B24F2543E0_.wvu.PrintTitles" hidden="1" oldHidden="1">
    <formula>рпр!$7:$8</formula>
    <oldFormula>рпр!$7:$8</oldFormula>
  </rdn>
  <rdn rId="0" localSheetId="1" customView="1" name="Z_2A135292_D5EB_4A8D_A93E_D0B24F2543E0_.wvu.FilterData" hidden="1" oldHidden="1">
    <formula>рпр!$C$1:$C$863</formula>
    <oldFormula>рпр!$C$1:$C$863</oldFormula>
  </rdn>
  <rcv guid="{2A135292-D5EB-4A8D-A93E-D0B24F2543E0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" sId="1">
    <oc r="E735">
      <f>169596.8+10995.4</f>
    </oc>
    <nc r="E735">
      <f>169596.8+10995.4-16738.1</f>
    </nc>
  </rcc>
  <rcc rId="22" sId="1">
    <oc r="E720">
      <f>42758.6-881.4</f>
    </oc>
    <nc r="E720">
      <f>42758.6-881.4+50304.2</f>
    </nc>
  </rcc>
  <rcc rId="23" sId="1">
    <oc r="E722">
      <f>51718.4+18707.5-3957.1</f>
    </oc>
    <nc r="E722">
      <f>51718.4+18707.5-3957.1-475.8</f>
    </nc>
  </rcc>
  <rcc rId="24" sId="1">
    <oc r="E728">
      <f>475.5+414.9-240.3</f>
    </oc>
    <nc r="E728">
      <f>475.5+414.9-240.3+298.9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" sId="1">
    <oc r="E687">
      <f>380.8-380.8</f>
    </oc>
    <nc r="E687">
      <f>380.8-380.8+482.2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" sId="1" ref="A668:XFD668" action="insertRow"/>
  <rrc rId="27" sId="1" ref="A668:XFD668" action="insertRow"/>
  <rrc rId="28" sId="1" ref="A668:XFD668" action="insertRow"/>
  <rrc rId="29" sId="1" ref="A668:XFD668" action="insertRow"/>
  <rcc rId="30" sId="1" odxf="1" dxf="1">
    <nc r="A668" t="inlineStr">
      <is>
        <t>Муниципальный проект города Благовещенска "Развитие инфраструктуры сферы культуры в городе Благовещенске"</t>
      </is>
    </nc>
    <odxf>
      <font>
        <sz val="12"/>
        <name val="Times New Roman"/>
        <family val="1"/>
      </font>
      <alignment horizontal="left"/>
    </odxf>
    <ndxf>
      <font>
        <sz val="12"/>
        <color rgb="FFFF0000"/>
        <name val="Times New Roman"/>
        <family val="1"/>
      </font>
      <alignment horizontal="general"/>
    </ndxf>
  </rcc>
  <rcc rId="31" sId="1" odxf="1" dxf="1">
    <nc r="A669" t="inlineStr">
      <is>
        <t>Проектные и изыскательские работы по объекту капитального строительства: "Городской дом культуры на 400 мест в квартале 97, г. Благовещенск, Амурская область"</t>
      </is>
    </nc>
    <odxf>
      <font>
        <sz val="12"/>
        <name val="Times New Roman"/>
        <family val="1"/>
      </font>
      <alignment horizontal="left"/>
    </odxf>
    <ndxf>
      <font>
        <sz val="12"/>
        <color rgb="FFFF0000"/>
        <name val="Times New Roman"/>
        <family val="1"/>
      </font>
      <alignment horizontal="general"/>
    </ndxf>
  </rcc>
  <rcc rId="32" sId="1" odxf="1" dxf="1">
    <nc r="A670" t="inlineStr">
      <is>
        <t>Капитальные вложения в объекты государственной (муниципальной) собственности</t>
      </is>
    </nc>
    <odxf>
      <font>
        <sz val="12"/>
        <name val="Times New Roman"/>
        <family val="1"/>
      </font>
      <alignment horizontal="left"/>
    </odxf>
    <ndxf>
      <font>
        <sz val="12"/>
        <color rgb="FFFF0000"/>
        <name val="Times New Roman"/>
        <family val="1"/>
      </font>
      <alignment horizontal="general"/>
    </ndxf>
  </rcc>
  <rcc rId="33" sId="1">
    <nc r="B668" t="inlineStr">
      <is>
        <t>0801</t>
      </is>
    </nc>
  </rcc>
  <rcc rId="34" sId="1">
    <nc r="B669" t="inlineStr">
      <is>
        <t>0801</t>
      </is>
    </nc>
  </rcc>
  <rcc rId="35" sId="1">
    <nc r="B670" t="inlineStr">
      <is>
        <t>0801</t>
      </is>
    </nc>
  </rcc>
  <rcc rId="36" sId="1" odxf="1" dxf="1">
    <nc r="C668" t="inlineStr">
      <is>
        <t>05 2 03 00000</t>
      </is>
    </nc>
    <odxf>
      <font>
        <sz val="12"/>
        <name val="Times New Roman"/>
        <family val="1"/>
      </font>
    </odxf>
    <ndxf>
      <font>
        <sz val="12"/>
        <color rgb="FFFF0000"/>
        <name val="Times New Roman"/>
        <family val="1"/>
      </font>
    </ndxf>
  </rcc>
  <rfmt sheetId="1" sqref="D668" start="0" length="0">
    <dxf>
      <font>
        <sz val="12"/>
        <color rgb="FFFF0000"/>
        <name val="Times New Roman"/>
        <family val="1"/>
      </font>
    </dxf>
  </rfmt>
  <rcc rId="37" sId="1" odxf="1" dxf="1">
    <nc r="C669" t="inlineStr">
      <is>
        <t>05 2 03 40011</t>
      </is>
    </nc>
    <odxf>
      <font>
        <sz val="12"/>
        <name val="Times New Roman"/>
        <family val="1"/>
      </font>
    </odxf>
    <ndxf>
      <font>
        <sz val="12"/>
        <color rgb="FFFF0000"/>
        <name val="Times New Roman"/>
        <family val="1"/>
      </font>
    </ndxf>
  </rcc>
  <rfmt sheetId="1" sqref="D669" start="0" length="0">
    <dxf>
      <font>
        <sz val="12"/>
        <color rgb="FFFF0000"/>
        <name val="Times New Roman"/>
        <family val="1"/>
      </font>
    </dxf>
  </rfmt>
  <rcc rId="38" sId="1" odxf="1" dxf="1">
    <nc r="C670" t="inlineStr">
      <is>
        <t>05 2 03 40011</t>
      </is>
    </nc>
    <odxf>
      <font>
        <sz val="12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39" sId="1" odxf="1" dxf="1">
    <nc r="D670" t="inlineStr">
      <is>
        <t>400</t>
      </is>
    </nc>
    <odxf>
      <font>
        <sz val="12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40" sId="1" odxf="1" s="1" dxf="1">
    <nc r="E668">
      <f>E669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41" sId="1" odxf="1" s="1" dxf="1">
    <nc r="E669">
      <f>E670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42" sId="1" odxf="1" s="1" dxf="1" numFmtId="4">
    <nc r="E670">
      <v>8720.9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43" sId="1" odxf="1" s="1" dxf="1">
    <nc r="F668">
      <f>F669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44" sId="1" odxf="1" s="1" dxf="1">
    <nc r="F669">
      <f>F670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45" sId="1" odxf="1" s="1" dxf="1" numFmtId="4">
    <nc r="F670">
      <v>20348.8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46" sId="1">
    <oc r="E661">
      <f>E662</f>
    </oc>
    <nc r="E661">
      <f>E662+E668</f>
    </nc>
  </rcc>
  <rcc rId="47" sId="1">
    <oc r="F661">
      <f>F662</f>
    </oc>
    <nc r="F661">
      <f>F662+F668</f>
    </nc>
  </rcc>
  <rcc rId="48" sId="1">
    <oc r="G661">
      <f>G662</f>
    </oc>
    <nc r="G661">
      <f>G662+G668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" sId="1" ref="A671:XFD671" action="deleteRow">
    <rfmt sheetId="1" xfDxf="1" sqref="A671:XFD671" start="0" length="0">
      <dxf>
        <font>
          <color auto="1"/>
          <name val="Times New Roman"/>
          <family val="1"/>
          <scheme val="none"/>
        </font>
        <alignment horizontal="left" vertical="top"/>
      </dxf>
    </rfmt>
    <rfmt sheetId="1" s="1" sqref="A671" start="0" length="0">
      <dxf>
        <font>
          <sz val="12"/>
          <color auto="1"/>
          <name val="Times New Roman"/>
          <family val="1"/>
          <scheme val="none"/>
        </font>
        <numFmt numFmtId="1" formatCode="0"/>
        <alignment wrapText="1"/>
      </dxf>
    </rfmt>
    <rfmt sheetId="1" s="1" sqref="B671" start="0" length="0">
      <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dxf>
    </rfmt>
    <rfmt sheetId="1" s="1" sqref="C671" start="0" length="0">
      <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dxf>
    </rfmt>
    <rfmt sheetId="1" s="1" sqref="D671" start="0" length="0">
      <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dxf>
    </rfmt>
    <rfmt sheetId="1" s="1" sqref="E67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="1" sqref="F67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="1" sqref="G67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</rrc>
  <rcc rId="50" sId="1" numFmtId="4">
    <nc r="G668">
      <v>0</v>
    </nc>
  </rcc>
  <rcc rId="51" sId="1" numFmtId="4">
    <nc r="G669">
      <v>0</v>
    </nc>
  </rcc>
  <rcc rId="52" sId="1" numFmtId="4">
    <nc r="G670">
      <v>0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4.bin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863"/>
  <sheetViews>
    <sheetView tabSelected="1" zoomScale="70" zoomScaleNormal="70" zoomScaleSheetLayoutView="74" workbookViewId="0">
      <selection activeCell="G848" sqref="G848"/>
    </sheetView>
  </sheetViews>
  <sheetFormatPr defaultRowHeight="15.75" outlineLevelRow="2" x14ac:dyDescent="0.25"/>
  <cols>
    <col min="1" max="1" width="49.42578125" style="1" customWidth="1"/>
    <col min="2" max="2" width="8.7109375" style="2" customWidth="1"/>
    <col min="3" max="3" width="17.42578125" style="2" customWidth="1"/>
    <col min="4" max="4" width="7.140625" style="3" customWidth="1"/>
    <col min="5" max="5" width="15.7109375" style="3" customWidth="1"/>
    <col min="6" max="6" width="15.140625" style="3" customWidth="1"/>
    <col min="7" max="7" width="15.85546875" style="2" customWidth="1"/>
    <col min="8" max="16384" width="9.140625" style="4"/>
  </cols>
  <sheetData>
    <row r="1" spans="1:7" ht="51.75" customHeight="1" x14ac:dyDescent="0.25">
      <c r="F1" s="65" t="s">
        <v>788</v>
      </c>
      <c r="G1" s="65"/>
    </row>
    <row r="2" spans="1:7" ht="21.75" customHeight="1" x14ac:dyDescent="0.25">
      <c r="E2" s="5"/>
      <c r="F2" s="5" t="s">
        <v>512</v>
      </c>
    </row>
    <row r="3" spans="1:7" ht="27" customHeight="1" x14ac:dyDescent="0.25">
      <c r="E3" s="5"/>
      <c r="F3" s="5" t="s">
        <v>787</v>
      </c>
    </row>
    <row r="4" spans="1:7" ht="48.75" customHeight="1" x14ac:dyDescent="0.25">
      <c r="A4" s="72" t="s">
        <v>289</v>
      </c>
      <c r="B4" s="72"/>
      <c r="C4" s="72"/>
      <c r="D4" s="72"/>
      <c r="E4" s="72"/>
      <c r="F4" s="72"/>
      <c r="G4" s="72"/>
    </row>
    <row r="5" spans="1:7" x14ac:dyDescent="0.25">
      <c r="A5" s="7"/>
      <c r="B5" s="6"/>
      <c r="C5" s="6"/>
      <c r="D5" s="6"/>
      <c r="E5" s="8"/>
      <c r="F5" s="6"/>
    </row>
    <row r="6" spans="1:7" x14ac:dyDescent="0.25">
      <c r="A6" s="9"/>
      <c r="B6" s="10"/>
      <c r="C6" s="10"/>
      <c r="G6" s="3" t="s">
        <v>0</v>
      </c>
    </row>
    <row r="7" spans="1:7" ht="16.5" customHeight="1" x14ac:dyDescent="0.25">
      <c r="A7" s="66" t="s">
        <v>1</v>
      </c>
      <c r="B7" s="67" t="s">
        <v>2</v>
      </c>
      <c r="C7" s="70" t="s">
        <v>3</v>
      </c>
      <c r="D7" s="70" t="s">
        <v>4</v>
      </c>
      <c r="E7" s="11" t="s">
        <v>138</v>
      </c>
      <c r="F7" s="68" t="s">
        <v>77</v>
      </c>
      <c r="G7" s="69"/>
    </row>
    <row r="8" spans="1:7" x14ac:dyDescent="0.25">
      <c r="A8" s="66"/>
      <c r="B8" s="67"/>
      <c r="C8" s="71"/>
      <c r="D8" s="71"/>
      <c r="E8" s="12" t="s">
        <v>638</v>
      </c>
      <c r="F8" s="13" t="s">
        <v>86</v>
      </c>
      <c r="G8" s="13" t="s">
        <v>141</v>
      </c>
    </row>
    <row r="9" spans="1:7" x14ac:dyDescent="0.25">
      <c r="A9" s="14" t="s">
        <v>5</v>
      </c>
      <c r="B9" s="15" t="s">
        <v>6</v>
      </c>
      <c r="C9" s="15"/>
      <c r="D9" s="16"/>
      <c r="E9" s="17">
        <f>E10+E14+E27+E45+E51+E57+E67+E61</f>
        <v>1300151.5</v>
      </c>
      <c r="F9" s="17">
        <f t="shared" ref="F9:G9" si="0">F10+F14+F27+F45+F51+F57+F67+F61</f>
        <v>1049267.4000000001</v>
      </c>
      <c r="G9" s="17">
        <f t="shared" si="0"/>
        <v>1017509.3</v>
      </c>
    </row>
    <row r="10" spans="1:7" ht="47.25" outlineLevel="1" x14ac:dyDescent="0.25">
      <c r="A10" s="18" t="s">
        <v>27</v>
      </c>
      <c r="B10" s="19" t="s">
        <v>28</v>
      </c>
      <c r="C10" s="19"/>
      <c r="D10" s="10"/>
      <c r="E10" s="20">
        <f>E11</f>
        <v>4059</v>
      </c>
      <c r="F10" s="20">
        <f t="shared" ref="F10:G12" si="1">F11</f>
        <v>4001.6</v>
      </c>
      <c r="G10" s="20">
        <f t="shared" si="1"/>
        <v>4001.6</v>
      </c>
    </row>
    <row r="11" spans="1:7" outlineLevel="2" x14ac:dyDescent="0.25">
      <c r="A11" s="18" t="s">
        <v>9</v>
      </c>
      <c r="B11" s="19" t="s">
        <v>28</v>
      </c>
      <c r="C11" s="19" t="s">
        <v>10</v>
      </c>
      <c r="D11" s="10"/>
      <c r="E11" s="20">
        <f>E12</f>
        <v>4059</v>
      </c>
      <c r="F11" s="20">
        <f t="shared" si="1"/>
        <v>4001.6</v>
      </c>
      <c r="G11" s="20">
        <f t="shared" si="1"/>
        <v>4001.6</v>
      </c>
    </row>
    <row r="12" spans="1:7" outlineLevel="2" x14ac:dyDescent="0.25">
      <c r="A12" s="18" t="s">
        <v>29</v>
      </c>
      <c r="B12" s="19" t="s">
        <v>28</v>
      </c>
      <c r="C12" s="19" t="s">
        <v>30</v>
      </c>
      <c r="D12" s="10"/>
      <c r="E12" s="20">
        <f>E13</f>
        <v>4059</v>
      </c>
      <c r="F12" s="20">
        <f t="shared" si="1"/>
        <v>4001.6</v>
      </c>
      <c r="G12" s="20">
        <f t="shared" si="1"/>
        <v>4001.6</v>
      </c>
    </row>
    <row r="13" spans="1:7" ht="94.5" outlineLevel="2" x14ac:dyDescent="0.25">
      <c r="A13" s="18" t="s">
        <v>13</v>
      </c>
      <c r="B13" s="19" t="s">
        <v>28</v>
      </c>
      <c r="C13" s="19" t="s">
        <v>30</v>
      </c>
      <c r="D13" s="10">
        <v>100</v>
      </c>
      <c r="E13" s="20">
        <f>3872.4+186.6</f>
        <v>4059</v>
      </c>
      <c r="F13" s="20">
        <v>4001.6</v>
      </c>
      <c r="G13" s="20">
        <v>4001.6</v>
      </c>
    </row>
    <row r="14" spans="1:7" ht="63" outlineLevel="1" x14ac:dyDescent="0.25">
      <c r="A14" s="21" t="s">
        <v>7</v>
      </c>
      <c r="B14" s="19" t="s">
        <v>8</v>
      </c>
      <c r="C14" s="19"/>
      <c r="D14" s="10"/>
      <c r="E14" s="3">
        <f>E15</f>
        <v>50205</v>
      </c>
      <c r="F14" s="3">
        <f>F15</f>
        <v>53167.399999999994</v>
      </c>
      <c r="G14" s="22">
        <f>G15</f>
        <v>53167.399999999994</v>
      </c>
    </row>
    <row r="15" spans="1:7" outlineLevel="2" x14ac:dyDescent="0.25">
      <c r="A15" s="21" t="s">
        <v>9</v>
      </c>
      <c r="B15" s="19" t="s">
        <v>8</v>
      </c>
      <c r="C15" s="19" t="s">
        <v>10</v>
      </c>
      <c r="D15" s="10"/>
      <c r="E15" s="20">
        <f>E16+E18+E20+E22+E25</f>
        <v>50205</v>
      </c>
      <c r="F15" s="20">
        <f>F16+F18+F20+F22+F25</f>
        <v>53167.399999999994</v>
      </c>
      <c r="G15" s="22">
        <f>G16+G18+G20+G22+G25</f>
        <v>53167.399999999994</v>
      </c>
    </row>
    <row r="16" spans="1:7" ht="31.5" outlineLevel="2" x14ac:dyDescent="0.25">
      <c r="A16" s="21" t="s">
        <v>11</v>
      </c>
      <c r="B16" s="19" t="s">
        <v>8</v>
      </c>
      <c r="C16" s="19" t="s">
        <v>12</v>
      </c>
      <c r="D16" s="10"/>
      <c r="E16" s="3">
        <f>E17</f>
        <v>4059.1</v>
      </c>
      <c r="F16" s="3">
        <f>F17</f>
        <v>4001.6</v>
      </c>
      <c r="G16" s="22">
        <f>G17</f>
        <v>4001.6</v>
      </c>
    </row>
    <row r="17" spans="1:7" ht="94.5" outlineLevel="2" x14ac:dyDescent="0.25">
      <c r="A17" s="21" t="s">
        <v>13</v>
      </c>
      <c r="B17" s="19" t="s">
        <v>8</v>
      </c>
      <c r="C17" s="19" t="s">
        <v>12</v>
      </c>
      <c r="D17" s="10">
        <v>100</v>
      </c>
      <c r="E17" s="20">
        <f>3872.4+186.7</f>
        <v>4059.1</v>
      </c>
      <c r="F17" s="20">
        <v>4001.6</v>
      </c>
      <c r="G17" s="22">
        <v>4001.6</v>
      </c>
    </row>
    <row r="18" spans="1:7" ht="31.5" outlineLevel="2" x14ac:dyDescent="0.25">
      <c r="A18" s="21" t="s">
        <v>14</v>
      </c>
      <c r="B18" s="19" t="s">
        <v>8</v>
      </c>
      <c r="C18" s="19" t="s">
        <v>15</v>
      </c>
      <c r="D18" s="10"/>
      <c r="E18" s="3">
        <f>E19</f>
        <v>2635.2000000000003</v>
      </c>
      <c r="F18" s="3">
        <f>F19</f>
        <v>3265.3</v>
      </c>
      <c r="G18" s="22">
        <f>G19</f>
        <v>3265.3</v>
      </c>
    </row>
    <row r="19" spans="1:7" ht="94.5" outlineLevel="2" x14ac:dyDescent="0.25">
      <c r="A19" s="21" t="s">
        <v>13</v>
      </c>
      <c r="B19" s="19" t="s">
        <v>8</v>
      </c>
      <c r="C19" s="19" t="s">
        <v>15</v>
      </c>
      <c r="D19" s="10">
        <v>100</v>
      </c>
      <c r="E19" s="20">
        <f>3159.8-524.6</f>
        <v>2635.2000000000003</v>
      </c>
      <c r="F19" s="20">
        <v>3265.3</v>
      </c>
      <c r="G19" s="22">
        <v>3265.3</v>
      </c>
    </row>
    <row r="20" spans="1:7" ht="31.5" outlineLevel="2" x14ac:dyDescent="0.25">
      <c r="A20" s="21" t="s">
        <v>16</v>
      </c>
      <c r="B20" s="19" t="s">
        <v>8</v>
      </c>
      <c r="C20" s="19" t="s">
        <v>17</v>
      </c>
      <c r="D20" s="10"/>
      <c r="E20" s="3">
        <f>E21</f>
        <v>2863.2999999999997</v>
      </c>
      <c r="F20" s="3">
        <f>F21</f>
        <v>3035.7</v>
      </c>
      <c r="G20" s="22">
        <f>G21</f>
        <v>3035.7</v>
      </c>
    </row>
    <row r="21" spans="1:7" ht="94.5" outlineLevel="2" x14ac:dyDescent="0.25">
      <c r="A21" s="21" t="s">
        <v>13</v>
      </c>
      <c r="B21" s="19" t="s">
        <v>8</v>
      </c>
      <c r="C21" s="19" t="s">
        <v>17</v>
      </c>
      <c r="D21" s="10">
        <v>100</v>
      </c>
      <c r="E21" s="20">
        <f>2937.7-74.4</f>
        <v>2863.2999999999997</v>
      </c>
      <c r="F21" s="20">
        <v>3035.7</v>
      </c>
      <c r="G21" s="22">
        <v>3035.7</v>
      </c>
    </row>
    <row r="22" spans="1:7" ht="31.5" outlineLevel="2" x14ac:dyDescent="0.25">
      <c r="A22" s="9" t="s">
        <v>18</v>
      </c>
      <c r="B22" s="19" t="s">
        <v>8</v>
      </c>
      <c r="C22" s="19" t="s">
        <v>19</v>
      </c>
      <c r="D22" s="10"/>
      <c r="E22" s="3">
        <f>E23+E24</f>
        <v>28984.100000000002</v>
      </c>
      <c r="F22" s="3">
        <f>F23+F24</f>
        <v>28186</v>
      </c>
      <c r="G22" s="22">
        <f>G23+G24</f>
        <v>28186</v>
      </c>
    </row>
    <row r="23" spans="1:7" ht="94.5" outlineLevel="2" x14ac:dyDescent="0.25">
      <c r="A23" s="21" t="s">
        <v>13</v>
      </c>
      <c r="B23" s="19" t="s">
        <v>8</v>
      </c>
      <c r="C23" s="19" t="s">
        <v>19</v>
      </c>
      <c r="D23" s="10">
        <v>100</v>
      </c>
      <c r="E23" s="20">
        <f>25723.4+1238.8+164+25</f>
        <v>27151.200000000001</v>
      </c>
      <c r="F23" s="20">
        <v>26580.2</v>
      </c>
      <c r="G23" s="22">
        <v>26580.2</v>
      </c>
    </row>
    <row r="24" spans="1:7" ht="31.5" outlineLevel="2" x14ac:dyDescent="0.25">
      <c r="A24" s="21" t="s">
        <v>76</v>
      </c>
      <c r="B24" s="19" t="s">
        <v>8</v>
      </c>
      <c r="C24" s="19" t="s">
        <v>19</v>
      </c>
      <c r="D24" s="10">
        <v>200</v>
      </c>
      <c r="E24" s="3">
        <v>1832.9</v>
      </c>
      <c r="F24" s="3">
        <v>1605.8</v>
      </c>
      <c r="G24" s="22">
        <v>1605.8</v>
      </c>
    </row>
    <row r="25" spans="1:7" ht="31.5" outlineLevel="2" x14ac:dyDescent="0.25">
      <c r="A25" s="21" t="s">
        <v>21</v>
      </c>
      <c r="B25" s="19" t="s">
        <v>8</v>
      </c>
      <c r="C25" s="19" t="s">
        <v>22</v>
      </c>
      <c r="D25" s="10"/>
      <c r="E25" s="20">
        <f>E26</f>
        <v>11663.3</v>
      </c>
      <c r="F25" s="20">
        <f>F26</f>
        <v>14678.8</v>
      </c>
      <c r="G25" s="22">
        <f>G26</f>
        <v>14678.8</v>
      </c>
    </row>
    <row r="26" spans="1:7" ht="94.5" outlineLevel="2" x14ac:dyDescent="0.25">
      <c r="A26" s="21" t="s">
        <v>13</v>
      </c>
      <c r="B26" s="19" t="s">
        <v>8</v>
      </c>
      <c r="C26" s="19" t="s">
        <v>22</v>
      </c>
      <c r="D26" s="10">
        <v>100</v>
      </c>
      <c r="E26" s="3">
        <f>14678.8-1826.5-164-1025</f>
        <v>11663.3</v>
      </c>
      <c r="F26" s="3">
        <v>14678.8</v>
      </c>
      <c r="G26" s="22">
        <v>14678.8</v>
      </c>
    </row>
    <row r="27" spans="1:7" ht="63" outlineLevel="1" x14ac:dyDescent="0.25">
      <c r="A27" s="18" t="s">
        <v>634</v>
      </c>
      <c r="B27" s="19" t="s">
        <v>31</v>
      </c>
      <c r="C27" s="19"/>
      <c r="D27" s="10"/>
      <c r="E27" s="20">
        <f>E28</f>
        <v>445656.9</v>
      </c>
      <c r="F27" s="20">
        <f t="shared" ref="F27:G27" si="2">F28</f>
        <v>436727.2</v>
      </c>
      <c r="G27" s="20">
        <f t="shared" si="2"/>
        <v>394909.4</v>
      </c>
    </row>
    <row r="28" spans="1:7" outlineLevel="2" x14ac:dyDescent="0.25">
      <c r="A28" s="18" t="s">
        <v>9</v>
      </c>
      <c r="B28" s="19" t="s">
        <v>31</v>
      </c>
      <c r="C28" s="19" t="s">
        <v>10</v>
      </c>
      <c r="D28" s="10"/>
      <c r="E28" s="3">
        <f>E29+E34</f>
        <v>445656.9</v>
      </c>
      <c r="F28" s="3">
        <f t="shared" ref="F28:G28" si="3">F29+F34</f>
        <v>436727.2</v>
      </c>
      <c r="G28" s="20">
        <f t="shared" si="3"/>
        <v>394909.4</v>
      </c>
    </row>
    <row r="29" spans="1:7" ht="53.25" customHeight="1" outlineLevel="2" x14ac:dyDescent="0.25">
      <c r="A29" s="23" t="s">
        <v>159</v>
      </c>
      <c r="B29" s="19" t="s">
        <v>31</v>
      </c>
      <c r="C29" s="19" t="s">
        <v>32</v>
      </c>
      <c r="D29" s="10"/>
      <c r="E29" s="20">
        <f>E30+E31+E32+E33</f>
        <v>429497.9</v>
      </c>
      <c r="F29" s="20">
        <f t="shared" ref="F29:G29" si="4">F30+F31+F32+F33</f>
        <v>419209.7</v>
      </c>
      <c r="G29" s="20">
        <f t="shared" si="4"/>
        <v>377467.80000000005</v>
      </c>
    </row>
    <row r="30" spans="1:7" ht="94.5" outlineLevel="2" x14ac:dyDescent="0.25">
      <c r="A30" s="18" t="s">
        <v>13</v>
      </c>
      <c r="B30" s="19" t="s">
        <v>31</v>
      </c>
      <c r="C30" s="19" t="s">
        <v>32</v>
      </c>
      <c r="D30" s="10">
        <v>100</v>
      </c>
      <c r="E30" s="3">
        <f>342930+32926.3+70.6+94.2</f>
        <v>376021.1</v>
      </c>
      <c r="F30" s="3">
        <v>354667</v>
      </c>
      <c r="G30" s="20">
        <v>354667.9</v>
      </c>
    </row>
    <row r="31" spans="1:7" ht="31.5" outlineLevel="2" x14ac:dyDescent="0.25">
      <c r="A31" s="18" t="s">
        <v>76</v>
      </c>
      <c r="B31" s="19" t="s">
        <v>31</v>
      </c>
      <c r="C31" s="19" t="s">
        <v>32</v>
      </c>
      <c r="D31" s="10">
        <v>200</v>
      </c>
      <c r="E31" s="20">
        <f>25797.3+1122+22666.9+217.2</f>
        <v>49803.399999999994</v>
      </c>
      <c r="F31" s="20">
        <f>19369.3+35500+6000</f>
        <v>60869.3</v>
      </c>
      <c r="G31" s="20">
        <v>19126.5</v>
      </c>
    </row>
    <row r="32" spans="1:7" ht="31.5" outlineLevel="2" x14ac:dyDescent="0.25">
      <c r="A32" s="18" t="s">
        <v>20</v>
      </c>
      <c r="B32" s="19" t="s">
        <v>31</v>
      </c>
      <c r="C32" s="19" t="s">
        <v>32</v>
      </c>
      <c r="D32" s="10">
        <v>300</v>
      </c>
      <c r="E32" s="3">
        <v>1000</v>
      </c>
      <c r="F32" s="3">
        <v>1000</v>
      </c>
      <c r="G32" s="20">
        <v>1000</v>
      </c>
    </row>
    <row r="33" spans="1:7" outlineLevel="2" x14ac:dyDescent="0.25">
      <c r="A33" s="23" t="s">
        <v>33</v>
      </c>
      <c r="B33" s="19" t="s">
        <v>31</v>
      </c>
      <c r="C33" s="19" t="s">
        <v>32</v>
      </c>
      <c r="D33" s="10">
        <v>800</v>
      </c>
      <c r="E33" s="20">
        <v>2673.4</v>
      </c>
      <c r="F33" s="20">
        <v>2673.4</v>
      </c>
      <c r="G33" s="20">
        <v>2673.4</v>
      </c>
    </row>
    <row r="34" spans="1:7" ht="31.5" outlineLevel="2" x14ac:dyDescent="0.25">
      <c r="A34" s="23" t="s">
        <v>34</v>
      </c>
      <c r="B34" s="24" t="s">
        <v>31</v>
      </c>
      <c r="C34" s="24" t="s">
        <v>35</v>
      </c>
      <c r="D34" s="19"/>
      <c r="E34" s="3">
        <f>E35+E37+E39+E42</f>
        <v>16159</v>
      </c>
      <c r="F34" s="3">
        <f t="shared" ref="F34:G34" si="5">F35+F37+F39+F42</f>
        <v>17517.5</v>
      </c>
      <c r="G34" s="20">
        <f t="shared" si="5"/>
        <v>17441.599999999999</v>
      </c>
    </row>
    <row r="35" spans="1:7" ht="94.5" outlineLevel="2" x14ac:dyDescent="0.25">
      <c r="A35" s="18" t="s">
        <v>79</v>
      </c>
      <c r="B35" s="19" t="s">
        <v>31</v>
      </c>
      <c r="C35" s="25" t="s">
        <v>36</v>
      </c>
      <c r="D35" s="10"/>
      <c r="E35" s="20">
        <f>E36</f>
        <v>6869.7</v>
      </c>
      <c r="F35" s="20">
        <f t="shared" ref="F35:G35" si="6">F36</f>
        <v>6869.7</v>
      </c>
      <c r="G35" s="20">
        <f t="shared" si="6"/>
        <v>6869.7</v>
      </c>
    </row>
    <row r="36" spans="1:7" ht="94.5" outlineLevel="2" x14ac:dyDescent="0.25">
      <c r="A36" s="18" t="s">
        <v>13</v>
      </c>
      <c r="B36" s="19" t="s">
        <v>31</v>
      </c>
      <c r="C36" s="25" t="s">
        <v>36</v>
      </c>
      <c r="D36" s="10">
        <v>100</v>
      </c>
      <c r="E36" s="3">
        <v>6869.7</v>
      </c>
      <c r="F36" s="3">
        <v>6869.7</v>
      </c>
      <c r="G36" s="20">
        <v>6869.7</v>
      </c>
    </row>
    <row r="37" spans="1:7" ht="126" outlineLevel="2" x14ac:dyDescent="0.25">
      <c r="A37" s="18" t="s">
        <v>87</v>
      </c>
      <c r="B37" s="19" t="s">
        <v>31</v>
      </c>
      <c r="C37" s="19" t="s">
        <v>37</v>
      </c>
      <c r="D37" s="19"/>
      <c r="E37" s="20">
        <f>E38</f>
        <v>3813.2</v>
      </c>
      <c r="F37" s="20">
        <f t="shared" ref="F37:G37" si="7">F38</f>
        <v>3813.2</v>
      </c>
      <c r="G37" s="20">
        <f t="shared" si="7"/>
        <v>3813.2</v>
      </c>
    </row>
    <row r="38" spans="1:7" ht="94.5" outlineLevel="2" x14ac:dyDescent="0.25">
      <c r="A38" s="18" t="s">
        <v>13</v>
      </c>
      <c r="B38" s="19" t="s">
        <v>31</v>
      </c>
      <c r="C38" s="19" t="s">
        <v>37</v>
      </c>
      <c r="D38" s="19" t="s">
        <v>38</v>
      </c>
      <c r="E38" s="3">
        <f>3799.1+14.1</f>
        <v>3813.2</v>
      </c>
      <c r="F38" s="3">
        <f>3799.1+14.1</f>
        <v>3813.2</v>
      </c>
      <c r="G38" s="20">
        <f>3799.1+14.1</f>
        <v>3813.2</v>
      </c>
    </row>
    <row r="39" spans="1:7" ht="94.5" outlineLevel="2" x14ac:dyDescent="0.25">
      <c r="A39" s="18" t="s">
        <v>82</v>
      </c>
      <c r="B39" s="19" t="s">
        <v>31</v>
      </c>
      <c r="C39" s="19" t="s">
        <v>78</v>
      </c>
      <c r="D39" s="19"/>
      <c r="E39" s="20">
        <f>E40+E41</f>
        <v>0</v>
      </c>
      <c r="F39" s="20">
        <f t="shared" ref="F39:G39" si="8">F40+F41</f>
        <v>1358.5</v>
      </c>
      <c r="G39" s="20">
        <f t="shared" si="8"/>
        <v>1282.5999999999999</v>
      </c>
    </row>
    <row r="40" spans="1:7" ht="94.5" outlineLevel="2" x14ac:dyDescent="0.25">
      <c r="A40" s="18" t="s">
        <v>13</v>
      </c>
      <c r="B40" s="19" t="s">
        <v>31</v>
      </c>
      <c r="C40" s="19" t="s">
        <v>78</v>
      </c>
      <c r="D40" s="19" t="s">
        <v>38</v>
      </c>
      <c r="E40" s="3">
        <v>0</v>
      </c>
      <c r="F40" s="3">
        <v>1282.5999999999999</v>
      </c>
      <c r="G40" s="20">
        <v>1282.5999999999999</v>
      </c>
    </row>
    <row r="41" spans="1:7" ht="31.5" outlineLevel="2" x14ac:dyDescent="0.25">
      <c r="A41" s="18" t="s">
        <v>76</v>
      </c>
      <c r="B41" s="19" t="s">
        <v>31</v>
      </c>
      <c r="C41" s="19" t="s">
        <v>78</v>
      </c>
      <c r="D41" s="19" t="s">
        <v>39</v>
      </c>
      <c r="E41" s="20">
        <v>0</v>
      </c>
      <c r="F41" s="20">
        <v>75.900000000000006</v>
      </c>
      <c r="G41" s="20">
        <f>75.9-75.9</f>
        <v>0</v>
      </c>
    </row>
    <row r="42" spans="1:7" ht="63" outlineLevel="2" x14ac:dyDescent="0.25">
      <c r="A42" s="18" t="s">
        <v>80</v>
      </c>
      <c r="B42" s="19" t="s">
        <v>31</v>
      </c>
      <c r="C42" s="25" t="s">
        <v>40</v>
      </c>
      <c r="D42" s="10"/>
      <c r="E42" s="3">
        <f>E43+E44</f>
        <v>5476.1</v>
      </c>
      <c r="F42" s="3">
        <f t="shared" ref="F42" si="9">F43+F44</f>
        <v>5476.1</v>
      </c>
      <c r="G42" s="20">
        <f>G43+G44</f>
        <v>5476.1</v>
      </c>
    </row>
    <row r="43" spans="1:7" ht="94.5" outlineLevel="2" x14ac:dyDescent="0.25">
      <c r="A43" s="18" t="s">
        <v>13</v>
      </c>
      <c r="B43" s="19" t="s">
        <v>31</v>
      </c>
      <c r="C43" s="25" t="s">
        <v>40</v>
      </c>
      <c r="D43" s="10">
        <v>100</v>
      </c>
      <c r="E43" s="20">
        <f>5192.8+250.5</f>
        <v>5443.3</v>
      </c>
      <c r="F43" s="20">
        <f>5192.8+250.5</f>
        <v>5443.3</v>
      </c>
      <c r="G43" s="20">
        <f>5192.8+250.5</f>
        <v>5443.3</v>
      </c>
    </row>
    <row r="44" spans="1:7" ht="31.5" outlineLevel="2" x14ac:dyDescent="0.25">
      <c r="A44" s="18" t="s">
        <v>76</v>
      </c>
      <c r="B44" s="19" t="s">
        <v>31</v>
      </c>
      <c r="C44" s="25" t="s">
        <v>40</v>
      </c>
      <c r="D44" s="10">
        <v>200</v>
      </c>
      <c r="E44" s="3">
        <f>209-176.2</f>
        <v>32.800000000000011</v>
      </c>
      <c r="F44" s="3">
        <f>209-176.2</f>
        <v>32.800000000000011</v>
      </c>
      <c r="G44" s="20">
        <f>209-176.2</f>
        <v>32.800000000000011</v>
      </c>
    </row>
    <row r="45" spans="1:7" outlineLevel="1" x14ac:dyDescent="0.25">
      <c r="A45" s="26" t="s">
        <v>41</v>
      </c>
      <c r="B45" s="27" t="s">
        <v>42</v>
      </c>
      <c r="C45" s="28"/>
      <c r="D45" s="10"/>
      <c r="E45" s="20">
        <f>E46</f>
        <v>17.7</v>
      </c>
      <c r="F45" s="20">
        <f t="shared" ref="F45:G47" si="10">F46</f>
        <v>372.9</v>
      </c>
      <c r="G45" s="20">
        <f t="shared" si="10"/>
        <v>17.399999999999977</v>
      </c>
    </row>
    <row r="46" spans="1:7" outlineLevel="2" x14ac:dyDescent="0.25">
      <c r="A46" s="18" t="s">
        <v>9</v>
      </c>
      <c r="B46" s="27" t="s">
        <v>42</v>
      </c>
      <c r="C46" s="19" t="s">
        <v>10</v>
      </c>
      <c r="D46" s="10"/>
      <c r="E46" s="3">
        <f>E47</f>
        <v>17.7</v>
      </c>
      <c r="F46" s="3">
        <f t="shared" si="10"/>
        <v>372.9</v>
      </c>
      <c r="G46" s="20">
        <f t="shared" si="10"/>
        <v>17.399999999999977</v>
      </c>
    </row>
    <row r="47" spans="1:7" ht="31.5" outlineLevel="2" x14ac:dyDescent="0.25">
      <c r="A47" s="29" t="s">
        <v>34</v>
      </c>
      <c r="B47" s="27" t="s">
        <v>42</v>
      </c>
      <c r="C47" s="27" t="s">
        <v>35</v>
      </c>
      <c r="D47" s="10"/>
      <c r="E47" s="20">
        <f>E48</f>
        <v>17.7</v>
      </c>
      <c r="F47" s="20">
        <f t="shared" si="10"/>
        <v>372.9</v>
      </c>
      <c r="G47" s="20">
        <f t="shared" si="10"/>
        <v>17.399999999999977</v>
      </c>
    </row>
    <row r="48" spans="1:7" ht="63" outlineLevel="2" x14ac:dyDescent="0.25">
      <c r="A48" s="23" t="s">
        <v>81</v>
      </c>
      <c r="B48" s="27" t="s">
        <v>42</v>
      </c>
      <c r="C48" s="28" t="s">
        <v>43</v>
      </c>
      <c r="D48" s="10"/>
      <c r="E48" s="3">
        <f>E49+E50</f>
        <v>17.7</v>
      </c>
      <c r="F48" s="3">
        <f t="shared" ref="F48:G48" si="11">F49+F50</f>
        <v>372.9</v>
      </c>
      <c r="G48" s="3">
        <f t="shared" si="11"/>
        <v>17.399999999999977</v>
      </c>
    </row>
    <row r="49" spans="1:7" ht="31.5" outlineLevel="2" x14ac:dyDescent="0.25">
      <c r="A49" s="18" t="s">
        <v>76</v>
      </c>
      <c r="B49" s="19" t="s">
        <v>42</v>
      </c>
      <c r="C49" s="19" t="s">
        <v>43</v>
      </c>
      <c r="D49" s="19" t="s">
        <v>39</v>
      </c>
      <c r="E49" s="3">
        <v>6.7</v>
      </c>
      <c r="F49" s="3">
        <v>0</v>
      </c>
      <c r="G49" s="20">
        <v>0</v>
      </c>
    </row>
    <row r="50" spans="1:7" ht="39" customHeight="1" outlineLevel="2" x14ac:dyDescent="0.25">
      <c r="A50" s="23" t="s">
        <v>44</v>
      </c>
      <c r="B50" s="27" t="s">
        <v>42</v>
      </c>
      <c r="C50" s="28" t="s">
        <v>43</v>
      </c>
      <c r="D50" s="10">
        <v>600</v>
      </c>
      <c r="E50" s="20">
        <f>30.2-12.5-6.7</f>
        <v>11</v>
      </c>
      <c r="F50" s="20">
        <f>610-237.1</f>
        <v>372.9</v>
      </c>
      <c r="G50" s="20">
        <f>610-592.6</f>
        <v>17.399999999999977</v>
      </c>
    </row>
    <row r="51" spans="1:7" ht="47.25" outlineLevel="1" x14ac:dyDescent="0.25">
      <c r="A51" s="21" t="s">
        <v>61</v>
      </c>
      <c r="B51" s="19" t="s">
        <v>62</v>
      </c>
      <c r="C51" s="19"/>
      <c r="D51" s="10"/>
      <c r="E51" s="3">
        <f t="shared" ref="E51:G52" si="12">E52</f>
        <v>99095.3</v>
      </c>
      <c r="F51" s="3">
        <f t="shared" si="12"/>
        <v>94834</v>
      </c>
      <c r="G51" s="20">
        <f t="shared" si="12"/>
        <v>95202.3</v>
      </c>
    </row>
    <row r="52" spans="1:7" outlineLevel="2" x14ac:dyDescent="0.25">
      <c r="A52" s="21" t="s">
        <v>9</v>
      </c>
      <c r="B52" s="19" t="s">
        <v>62</v>
      </c>
      <c r="C52" s="19" t="s">
        <v>10</v>
      </c>
      <c r="D52" s="10"/>
      <c r="E52" s="20">
        <f t="shared" si="12"/>
        <v>99095.3</v>
      </c>
      <c r="F52" s="20">
        <f t="shared" si="12"/>
        <v>94834</v>
      </c>
      <c r="G52" s="20">
        <f t="shared" si="12"/>
        <v>95202.3</v>
      </c>
    </row>
    <row r="53" spans="1:7" ht="47.25" outlineLevel="2" x14ac:dyDescent="0.25">
      <c r="A53" s="23" t="s">
        <v>159</v>
      </c>
      <c r="B53" s="19" t="s">
        <v>62</v>
      </c>
      <c r="C53" s="19" t="s">
        <v>32</v>
      </c>
      <c r="D53" s="10"/>
      <c r="E53" s="3">
        <f>E54+E55+E56</f>
        <v>99095.3</v>
      </c>
      <c r="F53" s="3">
        <f>F54+F55+F56</f>
        <v>94834</v>
      </c>
      <c r="G53" s="20">
        <f>G54+G55+G56</f>
        <v>95202.3</v>
      </c>
    </row>
    <row r="54" spans="1:7" ht="94.5" outlineLevel="2" x14ac:dyDescent="0.25">
      <c r="A54" s="21" t="s">
        <v>13</v>
      </c>
      <c r="B54" s="19" t="s">
        <v>62</v>
      </c>
      <c r="C54" s="19" t="s">
        <v>32</v>
      </c>
      <c r="D54" s="10">
        <v>100</v>
      </c>
      <c r="E54" s="20">
        <f>57187.8+28914+5781.7+1375.3+21.7+94</f>
        <v>93374.5</v>
      </c>
      <c r="F54" s="20">
        <f>59096.4+29865.9</f>
        <v>88962.3</v>
      </c>
      <c r="G54" s="20">
        <f>59096.4+29865.9</f>
        <v>88962.3</v>
      </c>
    </row>
    <row r="55" spans="1:7" ht="31.5" outlineLevel="2" x14ac:dyDescent="0.25">
      <c r="A55" s="21" t="s">
        <v>76</v>
      </c>
      <c r="B55" s="19" t="s">
        <v>62</v>
      </c>
      <c r="C55" s="19" t="s">
        <v>32</v>
      </c>
      <c r="D55" s="10">
        <v>200</v>
      </c>
      <c r="E55" s="3">
        <f>3615.8+2.4+2000+0.1-21.7</f>
        <v>5596.6000000000013</v>
      </c>
      <c r="F55" s="3">
        <f>3767.5+2000</f>
        <v>5767.5</v>
      </c>
      <c r="G55" s="20">
        <f>4135.8+2000</f>
        <v>6135.8</v>
      </c>
    </row>
    <row r="56" spans="1:7" outlineLevel="2" x14ac:dyDescent="0.25">
      <c r="A56" s="9" t="s">
        <v>33</v>
      </c>
      <c r="B56" s="19" t="s">
        <v>62</v>
      </c>
      <c r="C56" s="19" t="s">
        <v>32</v>
      </c>
      <c r="D56" s="10">
        <v>800</v>
      </c>
      <c r="E56" s="20">
        <f>50.2+54+20</f>
        <v>124.2</v>
      </c>
      <c r="F56" s="20">
        <f t="shared" ref="F56:G56" si="13">50.2+54</f>
        <v>104.2</v>
      </c>
      <c r="G56" s="20">
        <f t="shared" si="13"/>
        <v>104.2</v>
      </c>
    </row>
    <row r="57" spans="1:7" outlineLevel="1" x14ac:dyDescent="0.25">
      <c r="A57" s="21" t="s">
        <v>63</v>
      </c>
      <c r="B57" s="19" t="s">
        <v>64</v>
      </c>
      <c r="C57" s="19"/>
      <c r="D57" s="10"/>
      <c r="E57" s="3">
        <f>E58</f>
        <v>189714.19999999998</v>
      </c>
      <c r="F57" s="3">
        <f t="shared" ref="F57:G59" si="14">F58</f>
        <v>82102.2</v>
      </c>
      <c r="G57" s="20">
        <f t="shared" si="14"/>
        <v>82102.2</v>
      </c>
    </row>
    <row r="58" spans="1:7" outlineLevel="2" x14ac:dyDescent="0.25">
      <c r="A58" s="21" t="s">
        <v>9</v>
      </c>
      <c r="B58" s="19" t="s">
        <v>64</v>
      </c>
      <c r="C58" s="19" t="s">
        <v>10</v>
      </c>
      <c r="D58" s="10"/>
      <c r="E58" s="20">
        <f>E59</f>
        <v>189714.19999999998</v>
      </c>
      <c r="F58" s="20">
        <f t="shared" si="14"/>
        <v>82102.2</v>
      </c>
      <c r="G58" s="20">
        <f t="shared" si="14"/>
        <v>82102.2</v>
      </c>
    </row>
    <row r="59" spans="1:7" ht="31.5" outlineLevel="2" x14ac:dyDescent="0.25">
      <c r="A59" s="21" t="s">
        <v>65</v>
      </c>
      <c r="B59" s="19" t="s">
        <v>64</v>
      </c>
      <c r="C59" s="19" t="s">
        <v>66</v>
      </c>
      <c r="D59" s="10"/>
      <c r="E59" s="3">
        <f>E60</f>
        <v>189714.19999999998</v>
      </c>
      <c r="F59" s="3">
        <f t="shared" si="14"/>
        <v>82102.2</v>
      </c>
      <c r="G59" s="20">
        <f t="shared" si="14"/>
        <v>82102.2</v>
      </c>
    </row>
    <row r="60" spans="1:7" outlineLevel="2" x14ac:dyDescent="0.25">
      <c r="A60" s="9" t="s">
        <v>33</v>
      </c>
      <c r="B60" s="19" t="s">
        <v>64</v>
      </c>
      <c r="C60" s="19" t="s">
        <v>66</v>
      </c>
      <c r="D60" s="10">
        <v>800</v>
      </c>
      <c r="E60" s="20">
        <f>125000-1421.6-350-7325.6-62561.8-1114+63941.6+40840.1-653.4-653.9-607.6-1141.3-13975-4658.9-1622-881.7-11050.9-11464.5-7687.8+123450.6-3899.5-13526.2-1284.3-8815.8-34682.1+25859.8</f>
        <v>189714.19999999998</v>
      </c>
      <c r="F60" s="20">
        <v>82102.2</v>
      </c>
      <c r="G60" s="20">
        <v>82102.2</v>
      </c>
    </row>
    <row r="61" spans="1:7" ht="31.5" outlineLevel="1" x14ac:dyDescent="0.25">
      <c r="A61" s="21" t="s">
        <v>519</v>
      </c>
      <c r="B61" s="19" t="s">
        <v>521</v>
      </c>
      <c r="C61" s="19"/>
      <c r="D61" s="19"/>
      <c r="E61" s="3">
        <f>E62</f>
        <v>665</v>
      </c>
      <c r="F61" s="3">
        <f t="shared" ref="F61:G65" si="15">F62</f>
        <v>0</v>
      </c>
      <c r="G61" s="20">
        <f t="shared" si="15"/>
        <v>0</v>
      </c>
    </row>
    <row r="62" spans="1:7" ht="47.25" outlineLevel="2" x14ac:dyDescent="0.25">
      <c r="A62" s="21" t="s">
        <v>370</v>
      </c>
      <c r="B62" s="19" t="s">
        <v>521</v>
      </c>
      <c r="C62" s="19" t="s">
        <v>371</v>
      </c>
      <c r="D62" s="19"/>
      <c r="E62" s="20">
        <f>E63</f>
        <v>665</v>
      </c>
      <c r="F62" s="20">
        <f t="shared" si="15"/>
        <v>0</v>
      </c>
      <c r="G62" s="20">
        <f t="shared" si="15"/>
        <v>0</v>
      </c>
    </row>
    <row r="63" spans="1:7" outlineLevel="2" x14ac:dyDescent="0.25">
      <c r="A63" s="21" t="s">
        <v>144</v>
      </c>
      <c r="B63" s="19" t="s">
        <v>521</v>
      </c>
      <c r="C63" s="19" t="s">
        <v>407</v>
      </c>
      <c r="D63" s="19"/>
      <c r="E63" s="3">
        <f t="shared" ref="E63:E65" si="16">E64</f>
        <v>665</v>
      </c>
      <c r="F63" s="3">
        <f t="shared" si="15"/>
        <v>0</v>
      </c>
      <c r="G63" s="20">
        <f t="shared" si="15"/>
        <v>0</v>
      </c>
    </row>
    <row r="64" spans="1:7" ht="47.25" outlineLevel="2" x14ac:dyDescent="0.25">
      <c r="A64" s="21" t="s">
        <v>408</v>
      </c>
      <c r="B64" s="19" t="s">
        <v>521</v>
      </c>
      <c r="C64" s="19" t="s">
        <v>409</v>
      </c>
      <c r="D64" s="19"/>
      <c r="E64" s="20">
        <f t="shared" si="16"/>
        <v>665</v>
      </c>
      <c r="F64" s="20">
        <f t="shared" si="15"/>
        <v>0</v>
      </c>
      <c r="G64" s="20">
        <f t="shared" si="15"/>
        <v>0</v>
      </c>
    </row>
    <row r="65" spans="1:7" outlineLevel="2" x14ac:dyDescent="0.25">
      <c r="A65" s="21" t="s">
        <v>520</v>
      </c>
      <c r="B65" s="19" t="s">
        <v>521</v>
      </c>
      <c r="C65" s="19" t="s">
        <v>522</v>
      </c>
      <c r="D65" s="19"/>
      <c r="E65" s="3">
        <f t="shared" si="16"/>
        <v>665</v>
      </c>
      <c r="F65" s="3">
        <f t="shared" si="15"/>
        <v>0</v>
      </c>
      <c r="G65" s="20">
        <f t="shared" si="15"/>
        <v>0</v>
      </c>
    </row>
    <row r="66" spans="1:7" ht="31.5" outlineLevel="2" x14ac:dyDescent="0.25">
      <c r="A66" s="21" t="s">
        <v>76</v>
      </c>
      <c r="B66" s="19" t="s">
        <v>521</v>
      </c>
      <c r="C66" s="19" t="s">
        <v>522</v>
      </c>
      <c r="D66" s="19" t="s">
        <v>39</v>
      </c>
      <c r="E66" s="20">
        <v>665</v>
      </c>
      <c r="F66" s="20"/>
      <c r="G66" s="20"/>
    </row>
    <row r="67" spans="1:7" outlineLevel="1" x14ac:dyDescent="0.25">
      <c r="A67" s="21" t="s">
        <v>23</v>
      </c>
      <c r="B67" s="19" t="s">
        <v>24</v>
      </c>
      <c r="C67" s="19"/>
      <c r="D67" s="10"/>
      <c r="E67" s="3">
        <f>E68+E106+E117</f>
        <v>510738.39999999991</v>
      </c>
      <c r="F67" s="3">
        <f>F68+F106+F117</f>
        <v>378062.10000000003</v>
      </c>
      <c r="G67" s="3">
        <f>G68+G106+G117</f>
        <v>388109</v>
      </c>
    </row>
    <row r="68" spans="1:7" outlineLevel="2" x14ac:dyDescent="0.25">
      <c r="A68" s="21" t="s">
        <v>9</v>
      </c>
      <c r="B68" s="19" t="s">
        <v>24</v>
      </c>
      <c r="C68" s="19" t="s">
        <v>10</v>
      </c>
      <c r="D68" s="10"/>
      <c r="E68" s="20">
        <f>E69+E71+E76+E80+E88+E90+E83+E86+E102+E92+E94+E96+E98+E100+E104+E78</f>
        <v>404977.29999999993</v>
      </c>
      <c r="F68" s="20">
        <f t="shared" ref="F68:G68" si="17">F69+F71+F76+F80+F88+F90+F83+F86+F102+F92+F94+F96+F98+F100+F104</f>
        <v>278494.50000000006</v>
      </c>
      <c r="G68" s="3">
        <f t="shared" si="17"/>
        <v>287032.2</v>
      </c>
    </row>
    <row r="69" spans="1:7" ht="31.5" outlineLevel="2" x14ac:dyDescent="0.25">
      <c r="A69" s="18" t="s">
        <v>84</v>
      </c>
      <c r="B69" s="19" t="s">
        <v>24</v>
      </c>
      <c r="C69" s="19" t="s">
        <v>85</v>
      </c>
      <c r="D69" s="10"/>
      <c r="E69" s="3">
        <f>E70</f>
        <v>0</v>
      </c>
      <c r="F69" s="3">
        <f t="shared" ref="F69:G69" si="18">F70</f>
        <v>10</v>
      </c>
      <c r="G69" s="20">
        <f t="shared" si="18"/>
        <v>10</v>
      </c>
    </row>
    <row r="70" spans="1:7" ht="22.5" customHeight="1" outlineLevel="2" x14ac:dyDescent="0.25">
      <c r="A70" s="18" t="s">
        <v>20</v>
      </c>
      <c r="B70" s="19" t="s">
        <v>24</v>
      </c>
      <c r="C70" s="19" t="s">
        <v>85</v>
      </c>
      <c r="D70" s="10">
        <v>300</v>
      </c>
      <c r="E70" s="20">
        <f>10-10</f>
        <v>0</v>
      </c>
      <c r="F70" s="20">
        <v>10</v>
      </c>
      <c r="G70" s="20">
        <v>10</v>
      </c>
    </row>
    <row r="71" spans="1:7" ht="35.25" customHeight="1" outlineLevel="2" x14ac:dyDescent="0.25">
      <c r="A71" s="23" t="s">
        <v>151</v>
      </c>
      <c r="B71" s="19" t="s">
        <v>24</v>
      </c>
      <c r="C71" s="19" t="s">
        <v>45</v>
      </c>
      <c r="D71" s="10"/>
      <c r="E71" s="3">
        <f>SUM(E72:E75)</f>
        <v>276412</v>
      </c>
      <c r="F71" s="3">
        <f t="shared" ref="F71:G71" si="19">SUM(F72:F75)</f>
        <v>230146.9</v>
      </c>
      <c r="G71" s="20">
        <f t="shared" si="19"/>
        <v>238330.3</v>
      </c>
    </row>
    <row r="72" spans="1:7" ht="94.5" outlineLevel="2" x14ac:dyDescent="0.25">
      <c r="A72" s="18" t="s">
        <v>13</v>
      </c>
      <c r="B72" s="19" t="s">
        <v>24</v>
      </c>
      <c r="C72" s="19" t="s">
        <v>45</v>
      </c>
      <c r="D72" s="10">
        <v>100</v>
      </c>
      <c r="E72" s="20">
        <f>171071.1+4515.4+26.4</f>
        <v>175612.9</v>
      </c>
      <c r="F72" s="20">
        <v>177913.9</v>
      </c>
      <c r="G72" s="20">
        <v>185030.5</v>
      </c>
    </row>
    <row r="73" spans="1:7" ht="31.5" outlineLevel="2" x14ac:dyDescent="0.25">
      <c r="A73" s="18" t="s">
        <v>76</v>
      </c>
      <c r="B73" s="19" t="s">
        <v>24</v>
      </c>
      <c r="C73" s="19" t="s">
        <v>45</v>
      </c>
      <c r="D73" s="10">
        <v>200</v>
      </c>
      <c r="E73" s="3">
        <f>49178-10+193.7+226.3+1127+46513.3-256.1+1000</f>
        <v>97972.2</v>
      </c>
      <c r="F73" s="3">
        <v>49416.1</v>
      </c>
      <c r="G73" s="20">
        <v>50482.9</v>
      </c>
    </row>
    <row r="74" spans="1:7" ht="31.5" outlineLevel="2" x14ac:dyDescent="0.25">
      <c r="A74" s="18" t="s">
        <v>20</v>
      </c>
      <c r="B74" s="19" t="s">
        <v>24</v>
      </c>
      <c r="C74" s="19" t="s">
        <v>45</v>
      </c>
      <c r="D74" s="19" t="s">
        <v>557</v>
      </c>
      <c r="E74" s="20">
        <v>10</v>
      </c>
      <c r="F74" s="20">
        <v>0</v>
      </c>
      <c r="G74" s="20">
        <v>0</v>
      </c>
    </row>
    <row r="75" spans="1:7" outlineLevel="2" x14ac:dyDescent="0.25">
      <c r="A75" s="23" t="s">
        <v>33</v>
      </c>
      <c r="B75" s="19" t="s">
        <v>24</v>
      </c>
      <c r="C75" s="19" t="s">
        <v>45</v>
      </c>
      <c r="D75" s="10">
        <v>800</v>
      </c>
      <c r="E75" s="3">
        <v>2816.9</v>
      </c>
      <c r="F75" s="3">
        <v>2816.9</v>
      </c>
      <c r="G75" s="20">
        <v>2816.9</v>
      </c>
    </row>
    <row r="76" spans="1:7" ht="94.5" outlineLevel="2" x14ac:dyDescent="0.25">
      <c r="A76" s="9" t="s">
        <v>142</v>
      </c>
      <c r="B76" s="19" t="s">
        <v>24</v>
      </c>
      <c r="C76" s="19" t="s">
        <v>143</v>
      </c>
      <c r="D76" s="10"/>
      <c r="E76" s="20">
        <f>E77</f>
        <v>12027.800000000005</v>
      </c>
      <c r="F76" s="20">
        <f t="shared" ref="F76:G76" si="20">F77</f>
        <v>29645.7</v>
      </c>
      <c r="G76" s="20">
        <f t="shared" si="20"/>
        <v>30000</v>
      </c>
    </row>
    <row r="77" spans="1:7" outlineLevel="2" x14ac:dyDescent="0.25">
      <c r="A77" s="9" t="s">
        <v>33</v>
      </c>
      <c r="B77" s="19" t="s">
        <v>24</v>
      </c>
      <c r="C77" s="19" t="s">
        <v>143</v>
      </c>
      <c r="D77" s="10">
        <v>800</v>
      </c>
      <c r="E77" s="3">
        <f>60000-1135-3060.9-6766-464.2-17.7-3997.4-374.8-99.3-55.2-510.6-1327.6-300-9297.6-4.5-485.8-425.8-5927-482-5298.7-3991.7-3950.4</f>
        <v>12027.800000000005</v>
      </c>
      <c r="F77" s="3">
        <f>30000-354.3</f>
        <v>29645.7</v>
      </c>
      <c r="G77" s="20">
        <v>30000</v>
      </c>
    </row>
    <row r="78" spans="1:7" ht="63" outlineLevel="2" x14ac:dyDescent="0.25">
      <c r="A78" s="21" t="s">
        <v>745</v>
      </c>
      <c r="B78" s="19" t="s">
        <v>24</v>
      </c>
      <c r="C78" s="19" t="s">
        <v>744</v>
      </c>
      <c r="D78" s="10"/>
      <c r="E78" s="3">
        <f>+E79</f>
        <v>1163.8</v>
      </c>
      <c r="F78" s="3">
        <f t="shared" ref="F78:G78" si="21">+F79</f>
        <v>0</v>
      </c>
      <c r="G78" s="3">
        <f t="shared" si="21"/>
        <v>0</v>
      </c>
    </row>
    <row r="79" spans="1:7" ht="31.5" outlineLevel="2" x14ac:dyDescent="0.25">
      <c r="A79" s="23" t="s">
        <v>76</v>
      </c>
      <c r="B79" s="19" t="s">
        <v>24</v>
      </c>
      <c r="C79" s="19" t="s">
        <v>744</v>
      </c>
      <c r="D79" s="19">
        <v>200</v>
      </c>
      <c r="E79" s="3">
        <v>1163.8</v>
      </c>
      <c r="F79" s="3">
        <v>0</v>
      </c>
      <c r="G79" s="3">
        <v>0</v>
      </c>
    </row>
    <row r="80" spans="1:7" ht="63" outlineLevel="2" x14ac:dyDescent="0.25">
      <c r="A80" s="18" t="s">
        <v>46</v>
      </c>
      <c r="B80" s="19" t="s">
        <v>24</v>
      </c>
      <c r="C80" s="19" t="s">
        <v>47</v>
      </c>
      <c r="D80" s="10"/>
      <c r="E80" s="20">
        <f>E82+E81</f>
        <v>82970.899999999994</v>
      </c>
      <c r="F80" s="20">
        <f>F82</f>
        <v>13236.1</v>
      </c>
      <c r="G80" s="20">
        <f>G82</f>
        <v>13236.1</v>
      </c>
    </row>
    <row r="81" spans="1:7" ht="47.25" outlineLevel="2" x14ac:dyDescent="0.25">
      <c r="A81" s="21" t="s">
        <v>94</v>
      </c>
      <c r="B81" s="19" t="s">
        <v>24</v>
      </c>
      <c r="C81" s="19" t="s">
        <v>47</v>
      </c>
      <c r="D81" s="19" t="s">
        <v>95</v>
      </c>
      <c r="E81" s="3">
        <v>64391.4</v>
      </c>
      <c r="F81" s="3">
        <v>0</v>
      </c>
      <c r="G81" s="20">
        <v>0</v>
      </c>
    </row>
    <row r="82" spans="1:7" outlineLevel="2" x14ac:dyDescent="0.25">
      <c r="A82" s="23" t="s">
        <v>33</v>
      </c>
      <c r="B82" s="19" t="s">
        <v>24</v>
      </c>
      <c r="C82" s="19" t="s">
        <v>47</v>
      </c>
      <c r="D82" s="10">
        <v>800</v>
      </c>
      <c r="E82" s="20">
        <f>13025.6+210.5-2545+10049.6-1200+30.3+61-1052.5</f>
        <v>18579.5</v>
      </c>
      <c r="F82" s="20">
        <f t="shared" ref="F82:G82" si="22">13025.6+210.5</f>
        <v>13236.1</v>
      </c>
      <c r="G82" s="20">
        <f t="shared" si="22"/>
        <v>13236.1</v>
      </c>
    </row>
    <row r="83" spans="1:7" outlineLevel="2" x14ac:dyDescent="0.25">
      <c r="A83" s="21" t="s">
        <v>567</v>
      </c>
      <c r="B83" s="19" t="s">
        <v>24</v>
      </c>
      <c r="C83" s="19" t="s">
        <v>569</v>
      </c>
      <c r="D83" s="19"/>
      <c r="E83" s="3">
        <f>E85+E84</f>
        <v>160</v>
      </c>
      <c r="F83" s="3">
        <f t="shared" ref="F83:G83" si="23">F85+F84</f>
        <v>0</v>
      </c>
      <c r="G83" s="3">
        <f t="shared" si="23"/>
        <v>0</v>
      </c>
    </row>
    <row r="84" spans="1:7" ht="31.5" outlineLevel="2" x14ac:dyDescent="0.25">
      <c r="A84" s="18" t="s">
        <v>76</v>
      </c>
      <c r="B84" s="19" t="s">
        <v>24</v>
      </c>
      <c r="C84" s="19" t="s">
        <v>569</v>
      </c>
      <c r="D84" s="19" t="s">
        <v>39</v>
      </c>
      <c r="E84" s="3">
        <v>45</v>
      </c>
      <c r="F84" s="3">
        <v>0</v>
      </c>
      <c r="G84" s="20">
        <v>0</v>
      </c>
    </row>
    <row r="85" spans="1:7" outlineLevel="2" x14ac:dyDescent="0.25">
      <c r="A85" s="21" t="s">
        <v>33</v>
      </c>
      <c r="B85" s="19" t="s">
        <v>24</v>
      </c>
      <c r="C85" s="19" t="s">
        <v>569</v>
      </c>
      <c r="D85" s="19">
        <v>800</v>
      </c>
      <c r="E85" s="20">
        <f>115</f>
        <v>115</v>
      </c>
      <c r="F85" s="20">
        <v>0</v>
      </c>
      <c r="G85" s="20">
        <v>0</v>
      </c>
    </row>
    <row r="86" spans="1:7" outlineLevel="2" x14ac:dyDescent="0.25">
      <c r="A86" s="21" t="s">
        <v>568</v>
      </c>
      <c r="B86" s="19" t="s">
        <v>24</v>
      </c>
      <c r="C86" s="19" t="s">
        <v>570</v>
      </c>
      <c r="D86" s="19"/>
      <c r="E86" s="3">
        <f>E87</f>
        <v>4660</v>
      </c>
      <c r="F86" s="3">
        <f t="shared" ref="F86:G86" si="24">F87</f>
        <v>0</v>
      </c>
      <c r="G86" s="20">
        <f t="shared" si="24"/>
        <v>0</v>
      </c>
    </row>
    <row r="87" spans="1:7" outlineLevel="2" x14ac:dyDescent="0.25">
      <c r="A87" s="21" t="s">
        <v>33</v>
      </c>
      <c r="B87" s="19" t="s">
        <v>24</v>
      </c>
      <c r="C87" s="19" t="s">
        <v>570</v>
      </c>
      <c r="D87" s="19">
        <v>800</v>
      </c>
      <c r="E87" s="20">
        <f>2430+1200+1030</f>
        <v>4660</v>
      </c>
      <c r="F87" s="20">
        <v>0</v>
      </c>
      <c r="G87" s="20">
        <v>0</v>
      </c>
    </row>
    <row r="88" spans="1:7" ht="47.25" outlineLevel="2" x14ac:dyDescent="0.25">
      <c r="A88" s="9" t="s">
        <v>490</v>
      </c>
      <c r="B88" s="19" t="s">
        <v>24</v>
      </c>
      <c r="C88" s="19" t="s">
        <v>131</v>
      </c>
      <c r="D88" s="10"/>
      <c r="E88" s="3">
        <f>E89</f>
        <v>287.39999999999998</v>
      </c>
      <c r="F88" s="3">
        <f>F89</f>
        <v>287.39999999999998</v>
      </c>
      <c r="G88" s="22">
        <f>G89</f>
        <v>287.39999999999998</v>
      </c>
    </row>
    <row r="89" spans="1:7" ht="31.5" outlineLevel="2" x14ac:dyDescent="0.25">
      <c r="A89" s="21" t="s">
        <v>20</v>
      </c>
      <c r="B89" s="19" t="s">
        <v>24</v>
      </c>
      <c r="C89" s="19" t="s">
        <v>131</v>
      </c>
      <c r="D89" s="10">
        <v>300</v>
      </c>
      <c r="E89" s="20">
        <v>287.39999999999998</v>
      </c>
      <c r="F89" s="20">
        <v>287.39999999999998</v>
      </c>
      <c r="G89" s="22">
        <v>287.39999999999998</v>
      </c>
    </row>
    <row r="90" spans="1:7" ht="47.25" outlineLevel="2" x14ac:dyDescent="0.25">
      <c r="A90" s="21" t="s">
        <v>25</v>
      </c>
      <c r="B90" s="19" t="s">
        <v>24</v>
      </c>
      <c r="C90" s="19" t="s">
        <v>26</v>
      </c>
      <c r="D90" s="10"/>
      <c r="E90" s="3">
        <f>E91</f>
        <v>1603.7</v>
      </c>
      <c r="F90" s="3">
        <f>F91</f>
        <v>1091.9000000000001</v>
      </c>
      <c r="G90" s="22">
        <f>G91</f>
        <v>1091.9000000000001</v>
      </c>
    </row>
    <row r="91" spans="1:7" ht="31.5" outlineLevel="2" x14ac:dyDescent="0.25">
      <c r="A91" s="21" t="s">
        <v>20</v>
      </c>
      <c r="B91" s="19" t="s">
        <v>24</v>
      </c>
      <c r="C91" s="19" t="s">
        <v>26</v>
      </c>
      <c r="D91" s="10">
        <v>300</v>
      </c>
      <c r="E91" s="20">
        <f>402.3+689.6+511.8</f>
        <v>1603.7</v>
      </c>
      <c r="F91" s="20">
        <f t="shared" ref="F91:G91" si="25">402.3+689.6</f>
        <v>1091.9000000000001</v>
      </c>
      <c r="G91" s="3">
        <f t="shared" si="25"/>
        <v>1091.9000000000001</v>
      </c>
    </row>
    <row r="92" spans="1:7" outlineLevel="2" x14ac:dyDescent="0.25">
      <c r="A92" s="18" t="s">
        <v>641</v>
      </c>
      <c r="B92" s="19" t="s">
        <v>24</v>
      </c>
      <c r="C92" s="19" t="s">
        <v>132</v>
      </c>
      <c r="D92" s="19"/>
      <c r="E92" s="3">
        <f>+E93</f>
        <v>513.29999999999995</v>
      </c>
      <c r="F92" s="3">
        <f t="shared" ref="F92:G92" si="26">+F93</f>
        <v>513.29999999999995</v>
      </c>
      <c r="G92" s="3">
        <f t="shared" si="26"/>
        <v>513.29999999999995</v>
      </c>
    </row>
    <row r="93" spans="1:7" ht="47.25" outlineLevel="2" x14ac:dyDescent="0.25">
      <c r="A93" s="23" t="s">
        <v>94</v>
      </c>
      <c r="B93" s="19" t="s">
        <v>24</v>
      </c>
      <c r="C93" s="19" t="s">
        <v>132</v>
      </c>
      <c r="D93" s="19" t="s">
        <v>95</v>
      </c>
      <c r="E93" s="20">
        <f>513.3</f>
        <v>513.29999999999995</v>
      </c>
      <c r="F93" s="20">
        <v>513.29999999999995</v>
      </c>
      <c r="G93" s="3">
        <v>513.29999999999995</v>
      </c>
    </row>
    <row r="94" spans="1:7" ht="31.5" outlineLevel="2" x14ac:dyDescent="0.25">
      <c r="A94" s="18" t="s">
        <v>133</v>
      </c>
      <c r="B94" s="19" t="s">
        <v>24</v>
      </c>
      <c r="C94" s="19" t="s">
        <v>134</v>
      </c>
      <c r="D94" s="19"/>
      <c r="E94" s="3">
        <f>+E95</f>
        <v>2913.2</v>
      </c>
      <c r="F94" s="3">
        <f>+F95</f>
        <v>2913.2</v>
      </c>
      <c r="G94" s="3">
        <f>+G95</f>
        <v>2913.2</v>
      </c>
    </row>
    <row r="95" spans="1:7" ht="47.25" outlineLevel="2" x14ac:dyDescent="0.25">
      <c r="A95" s="23" t="s">
        <v>94</v>
      </c>
      <c r="B95" s="19" t="s">
        <v>24</v>
      </c>
      <c r="C95" s="19" t="s">
        <v>134</v>
      </c>
      <c r="D95" s="19" t="s">
        <v>95</v>
      </c>
      <c r="E95" s="20">
        <v>2913.2</v>
      </c>
      <c r="F95" s="20">
        <v>2913.2</v>
      </c>
      <c r="G95" s="3">
        <v>2913.2</v>
      </c>
    </row>
    <row r="96" spans="1:7" ht="31.5" outlineLevel="2" x14ac:dyDescent="0.25">
      <c r="A96" s="18" t="s">
        <v>139</v>
      </c>
      <c r="B96" s="19" t="s">
        <v>24</v>
      </c>
      <c r="C96" s="19" t="s">
        <v>140</v>
      </c>
      <c r="D96" s="19"/>
      <c r="E96" s="3">
        <f>+E97</f>
        <v>650</v>
      </c>
      <c r="F96" s="3">
        <f t="shared" ref="F96:G96" si="27">+F97</f>
        <v>650</v>
      </c>
      <c r="G96" s="3">
        <f t="shared" si="27"/>
        <v>650</v>
      </c>
    </row>
    <row r="97" spans="1:7" ht="31.5" outlineLevel="2" x14ac:dyDescent="0.25">
      <c r="A97" s="18" t="s">
        <v>20</v>
      </c>
      <c r="B97" s="19" t="s">
        <v>24</v>
      </c>
      <c r="C97" s="19" t="s">
        <v>140</v>
      </c>
      <c r="D97" s="19" t="s">
        <v>557</v>
      </c>
      <c r="E97" s="20">
        <v>650</v>
      </c>
      <c r="F97" s="20">
        <v>650</v>
      </c>
      <c r="G97" s="3">
        <v>650</v>
      </c>
    </row>
    <row r="98" spans="1:7" ht="63" outlineLevel="2" x14ac:dyDescent="0.25">
      <c r="A98" s="18" t="s">
        <v>642</v>
      </c>
      <c r="B98" s="19" t="s">
        <v>24</v>
      </c>
      <c r="C98" s="19" t="s">
        <v>644</v>
      </c>
      <c r="D98" s="19"/>
      <c r="E98" s="3">
        <f>+E99</f>
        <v>5899.5</v>
      </c>
      <c r="F98" s="3">
        <f t="shared" ref="F98:G98" si="28">+F99</f>
        <v>0</v>
      </c>
      <c r="G98" s="3">
        <f t="shared" si="28"/>
        <v>0</v>
      </c>
    </row>
    <row r="99" spans="1:7" ht="47.25" outlineLevel="2" x14ac:dyDescent="0.25">
      <c r="A99" s="18" t="s">
        <v>94</v>
      </c>
      <c r="B99" s="19" t="s">
        <v>24</v>
      </c>
      <c r="C99" s="19" t="s">
        <v>644</v>
      </c>
      <c r="D99" s="19" t="s">
        <v>95</v>
      </c>
      <c r="E99" s="20">
        <v>5899.5</v>
      </c>
      <c r="F99" s="20">
        <v>0</v>
      </c>
      <c r="G99" s="3">
        <v>0</v>
      </c>
    </row>
    <row r="100" spans="1:7" ht="78.75" outlineLevel="2" x14ac:dyDescent="0.25">
      <c r="A100" s="18" t="s">
        <v>643</v>
      </c>
      <c r="B100" s="19" t="s">
        <v>24</v>
      </c>
      <c r="C100" s="19" t="s">
        <v>645</v>
      </c>
      <c r="D100" s="19"/>
      <c r="E100" s="3">
        <f>+E101</f>
        <v>12381.6</v>
      </c>
      <c r="F100" s="3">
        <f t="shared" ref="F100:G100" si="29">+F101</f>
        <v>0</v>
      </c>
      <c r="G100" s="3">
        <f t="shared" si="29"/>
        <v>0</v>
      </c>
    </row>
    <row r="101" spans="1:7" ht="47.25" outlineLevel="2" x14ac:dyDescent="0.25">
      <c r="A101" s="18" t="s">
        <v>94</v>
      </c>
      <c r="B101" s="19" t="s">
        <v>24</v>
      </c>
      <c r="C101" s="19" t="s">
        <v>645</v>
      </c>
      <c r="D101" s="19" t="s">
        <v>95</v>
      </c>
      <c r="E101" s="20">
        <f>11307.5+1074.1</f>
        <v>12381.6</v>
      </c>
      <c r="F101" s="20">
        <v>0</v>
      </c>
      <c r="G101" s="3">
        <v>0</v>
      </c>
    </row>
    <row r="102" spans="1:7" ht="47.25" outlineLevel="2" x14ac:dyDescent="0.25">
      <c r="A102" s="21" t="s">
        <v>639</v>
      </c>
      <c r="B102" s="19" t="s">
        <v>24</v>
      </c>
      <c r="C102" s="19" t="s">
        <v>640</v>
      </c>
      <c r="D102" s="19"/>
      <c r="E102" s="3">
        <f>+E103</f>
        <v>2934.1</v>
      </c>
      <c r="F102" s="3">
        <v>0</v>
      </c>
      <c r="G102" s="3">
        <v>0</v>
      </c>
    </row>
    <row r="103" spans="1:7" ht="47.25" outlineLevel="2" x14ac:dyDescent="0.25">
      <c r="A103" s="18" t="s">
        <v>94</v>
      </c>
      <c r="B103" s="19" t="s">
        <v>24</v>
      </c>
      <c r="C103" s="19" t="s">
        <v>640</v>
      </c>
      <c r="D103" s="19" t="s">
        <v>95</v>
      </c>
      <c r="E103" s="20">
        <v>2934.1</v>
      </c>
      <c r="F103" s="20">
        <v>0</v>
      </c>
      <c r="G103" s="3">
        <v>0</v>
      </c>
    </row>
    <row r="104" spans="1:7" ht="47.25" outlineLevel="2" x14ac:dyDescent="0.25">
      <c r="A104" s="18" t="s">
        <v>646</v>
      </c>
      <c r="B104" s="19" t="s">
        <v>24</v>
      </c>
      <c r="C104" s="19" t="s">
        <v>647</v>
      </c>
      <c r="D104" s="19"/>
      <c r="E104" s="3">
        <f>+E105</f>
        <v>400</v>
      </c>
      <c r="F104" s="3">
        <v>0</v>
      </c>
      <c r="G104" s="3">
        <v>0</v>
      </c>
    </row>
    <row r="105" spans="1:7" ht="47.25" outlineLevel="2" x14ac:dyDescent="0.25">
      <c r="A105" s="18" t="s">
        <v>94</v>
      </c>
      <c r="B105" s="19" t="s">
        <v>24</v>
      </c>
      <c r="C105" s="19" t="s">
        <v>647</v>
      </c>
      <c r="D105" s="19" t="s">
        <v>95</v>
      </c>
      <c r="E105" s="20">
        <v>400</v>
      </c>
      <c r="F105" s="20">
        <v>0</v>
      </c>
      <c r="G105" s="3">
        <v>0</v>
      </c>
    </row>
    <row r="106" spans="1:7" ht="47.25" outlineLevel="2" x14ac:dyDescent="0.25">
      <c r="A106" s="30" t="s">
        <v>59</v>
      </c>
      <c r="B106" s="2" t="s">
        <v>24</v>
      </c>
      <c r="C106" s="2" t="s">
        <v>60</v>
      </c>
      <c r="D106" s="19"/>
      <c r="E106" s="3">
        <f>E107</f>
        <v>105482.59999999998</v>
      </c>
      <c r="F106" s="3">
        <f t="shared" ref="E106:G107" si="30">F107</f>
        <v>99289.099999999991</v>
      </c>
      <c r="G106" s="20">
        <f t="shared" si="30"/>
        <v>100798.29999999999</v>
      </c>
    </row>
    <row r="107" spans="1:7" outlineLevel="2" x14ac:dyDescent="0.25">
      <c r="A107" s="30" t="s">
        <v>144</v>
      </c>
      <c r="B107" s="2" t="s">
        <v>24</v>
      </c>
      <c r="C107" s="2" t="s">
        <v>135</v>
      </c>
      <c r="D107" s="19"/>
      <c r="E107" s="20">
        <f t="shared" si="30"/>
        <v>105482.59999999998</v>
      </c>
      <c r="F107" s="20">
        <f t="shared" si="30"/>
        <v>99289.099999999991</v>
      </c>
      <c r="G107" s="20">
        <f t="shared" si="30"/>
        <v>100798.29999999999</v>
      </c>
    </row>
    <row r="108" spans="1:7" ht="110.25" outlineLevel="2" x14ac:dyDescent="0.25">
      <c r="A108" s="30" t="s">
        <v>500</v>
      </c>
      <c r="B108" s="2" t="s">
        <v>24</v>
      </c>
      <c r="C108" s="2" t="s">
        <v>401</v>
      </c>
      <c r="D108" s="19"/>
      <c r="E108" s="3">
        <f>E109+E114</f>
        <v>105482.59999999998</v>
      </c>
      <c r="F108" s="3">
        <f>F109+F114</f>
        <v>99289.099999999991</v>
      </c>
      <c r="G108" s="20">
        <f>G109+G114</f>
        <v>100798.29999999999</v>
      </c>
    </row>
    <row r="109" spans="1:7" ht="47.25" outlineLevel="2" x14ac:dyDescent="0.25">
      <c r="A109" s="9" t="s">
        <v>159</v>
      </c>
      <c r="B109" s="2" t="s">
        <v>24</v>
      </c>
      <c r="C109" s="2" t="s">
        <v>481</v>
      </c>
      <c r="D109" s="31"/>
      <c r="E109" s="20">
        <f>E110+E111+E113+E112</f>
        <v>67262.499999999985</v>
      </c>
      <c r="F109" s="20">
        <f t="shared" ref="F109:G109" si="31">F110+F111+F113</f>
        <v>59805.999999999993</v>
      </c>
      <c r="G109" s="20">
        <f t="shared" si="31"/>
        <v>59805.999999999993</v>
      </c>
    </row>
    <row r="110" spans="1:7" ht="94.5" outlineLevel="2" x14ac:dyDescent="0.25">
      <c r="A110" s="21" t="s">
        <v>75</v>
      </c>
      <c r="B110" s="2" t="s">
        <v>24</v>
      </c>
      <c r="C110" s="2" t="s">
        <v>481</v>
      </c>
      <c r="D110" s="31">
        <v>100</v>
      </c>
      <c r="E110" s="3">
        <f>55534.7+4071.7+98.6+545.9</f>
        <v>60250.899999999994</v>
      </c>
      <c r="F110" s="3">
        <v>57388.2</v>
      </c>
      <c r="G110" s="20">
        <v>57388.2</v>
      </c>
    </row>
    <row r="111" spans="1:7" ht="31.5" outlineLevel="2" x14ac:dyDescent="0.25">
      <c r="A111" s="21" t="s">
        <v>76</v>
      </c>
      <c r="B111" s="2" t="s">
        <v>24</v>
      </c>
      <c r="C111" s="2" t="s">
        <v>481</v>
      </c>
      <c r="D111" s="31">
        <v>200</v>
      </c>
      <c r="E111" s="20">
        <f>2418.3-98.6</f>
        <v>2319.7000000000003</v>
      </c>
      <c r="F111" s="20">
        <v>2187.6999999999998</v>
      </c>
      <c r="G111" s="20">
        <v>2187.6999999999998</v>
      </c>
    </row>
    <row r="112" spans="1:7" ht="31.5" outlineLevel="2" x14ac:dyDescent="0.25">
      <c r="A112" s="9" t="s">
        <v>20</v>
      </c>
      <c r="B112" s="19" t="s">
        <v>24</v>
      </c>
      <c r="C112" s="19" t="s">
        <v>481</v>
      </c>
      <c r="D112" s="19">
        <v>300</v>
      </c>
      <c r="E112" s="3">
        <v>915</v>
      </c>
      <c r="F112" s="3">
        <v>0</v>
      </c>
      <c r="G112" s="20">
        <v>0</v>
      </c>
    </row>
    <row r="113" spans="1:7" outlineLevel="2" x14ac:dyDescent="0.25">
      <c r="A113" s="9" t="s">
        <v>33</v>
      </c>
      <c r="B113" s="2" t="s">
        <v>24</v>
      </c>
      <c r="C113" s="2" t="s">
        <v>481</v>
      </c>
      <c r="D113" s="31">
        <v>800</v>
      </c>
      <c r="E113" s="20">
        <f>230.1+988.8+2558</f>
        <v>3776.8999999999996</v>
      </c>
      <c r="F113" s="20">
        <v>230.1</v>
      </c>
      <c r="G113" s="20">
        <v>230.1</v>
      </c>
    </row>
    <row r="114" spans="1:7" ht="47.25" outlineLevel="2" x14ac:dyDescent="0.25">
      <c r="A114" s="21" t="s">
        <v>151</v>
      </c>
      <c r="B114" s="2" t="s">
        <v>24</v>
      </c>
      <c r="C114" s="2" t="s">
        <v>478</v>
      </c>
      <c r="D114" s="31"/>
      <c r="E114" s="3">
        <f>E115+E116</f>
        <v>38220.1</v>
      </c>
      <c r="F114" s="3">
        <f>F115+F116</f>
        <v>39483.1</v>
      </c>
      <c r="G114" s="20">
        <f>G115+G116</f>
        <v>40992.299999999996</v>
      </c>
    </row>
    <row r="115" spans="1:7" ht="94.5" outlineLevel="2" x14ac:dyDescent="0.25">
      <c r="A115" s="9" t="s">
        <v>75</v>
      </c>
      <c r="B115" s="2" t="s">
        <v>24</v>
      </c>
      <c r="C115" s="2" t="s">
        <v>478</v>
      </c>
      <c r="D115" s="31">
        <v>100</v>
      </c>
      <c r="E115" s="20">
        <f>27865.8+8415.4+134.8</f>
        <v>36416</v>
      </c>
      <c r="F115" s="20">
        <f>28980.4+8752.1</f>
        <v>37732.5</v>
      </c>
      <c r="G115" s="20">
        <f>30139.6+9102.1</f>
        <v>39241.699999999997</v>
      </c>
    </row>
    <row r="116" spans="1:7" ht="31.5" outlineLevel="2" x14ac:dyDescent="0.25">
      <c r="A116" s="9" t="s">
        <v>76</v>
      </c>
      <c r="B116" s="2" t="s">
        <v>24</v>
      </c>
      <c r="C116" s="2" t="s">
        <v>478</v>
      </c>
      <c r="D116" s="31">
        <v>200</v>
      </c>
      <c r="E116" s="3">
        <f>1734.1+70</f>
        <v>1804.1</v>
      </c>
      <c r="F116" s="3">
        <v>1750.6</v>
      </c>
      <c r="G116" s="20">
        <v>1750.6</v>
      </c>
    </row>
    <row r="117" spans="1:7" ht="78.75" outlineLevel="2" x14ac:dyDescent="0.25">
      <c r="A117" s="18" t="s">
        <v>347</v>
      </c>
      <c r="B117" s="2" t="s">
        <v>24</v>
      </c>
      <c r="C117" s="2" t="s">
        <v>54</v>
      </c>
      <c r="D117" s="31"/>
      <c r="E117" s="20">
        <f t="shared" ref="E117:G120" si="32">E118</f>
        <v>278.5</v>
      </c>
      <c r="F117" s="20">
        <f t="shared" si="32"/>
        <v>278.5</v>
      </c>
      <c r="G117" s="20">
        <f t="shared" si="32"/>
        <v>278.5</v>
      </c>
    </row>
    <row r="118" spans="1:7" outlineLevel="2" x14ac:dyDescent="0.25">
      <c r="A118" s="23" t="s">
        <v>144</v>
      </c>
      <c r="B118" s="2" t="s">
        <v>24</v>
      </c>
      <c r="C118" s="2" t="s">
        <v>83</v>
      </c>
      <c r="D118" s="31"/>
      <c r="E118" s="3">
        <f t="shared" si="32"/>
        <v>278.5</v>
      </c>
      <c r="F118" s="3">
        <f t="shared" si="32"/>
        <v>278.5</v>
      </c>
      <c r="G118" s="20">
        <f t="shared" si="32"/>
        <v>278.5</v>
      </c>
    </row>
    <row r="119" spans="1:7" ht="78.75" outlineLevel="2" x14ac:dyDescent="0.25">
      <c r="A119" s="18" t="s">
        <v>510</v>
      </c>
      <c r="B119" s="2" t="s">
        <v>24</v>
      </c>
      <c r="C119" s="2" t="s">
        <v>404</v>
      </c>
      <c r="D119" s="31"/>
      <c r="E119" s="20">
        <f t="shared" si="32"/>
        <v>278.5</v>
      </c>
      <c r="F119" s="20">
        <f t="shared" si="32"/>
        <v>278.5</v>
      </c>
      <c r="G119" s="20">
        <f t="shared" si="32"/>
        <v>278.5</v>
      </c>
    </row>
    <row r="120" spans="1:7" ht="63" outlineLevel="2" x14ac:dyDescent="0.25">
      <c r="A120" s="9" t="s">
        <v>479</v>
      </c>
      <c r="B120" s="2" t="s">
        <v>24</v>
      </c>
      <c r="C120" s="2" t="s">
        <v>480</v>
      </c>
      <c r="D120" s="31"/>
      <c r="E120" s="3">
        <f t="shared" si="32"/>
        <v>278.5</v>
      </c>
      <c r="F120" s="3">
        <f t="shared" si="32"/>
        <v>278.5</v>
      </c>
      <c r="G120" s="20">
        <f t="shared" si="32"/>
        <v>278.5</v>
      </c>
    </row>
    <row r="121" spans="1:7" ht="31.5" outlineLevel="2" x14ac:dyDescent="0.25">
      <c r="A121" s="9" t="s">
        <v>76</v>
      </c>
      <c r="B121" s="2" t="s">
        <v>24</v>
      </c>
      <c r="C121" s="2" t="s">
        <v>480</v>
      </c>
      <c r="D121" s="31">
        <v>200</v>
      </c>
      <c r="E121" s="20">
        <v>278.5</v>
      </c>
      <c r="F121" s="20">
        <v>278.5</v>
      </c>
      <c r="G121" s="20">
        <v>278.5</v>
      </c>
    </row>
    <row r="122" spans="1:7" ht="31.5" x14ac:dyDescent="0.25">
      <c r="A122" s="14" t="s">
        <v>67</v>
      </c>
      <c r="B122" s="15" t="s">
        <v>68</v>
      </c>
      <c r="C122" s="15"/>
      <c r="D122" s="16"/>
      <c r="E122" s="17">
        <f>E123</f>
        <v>187162.5</v>
      </c>
      <c r="F122" s="17">
        <f t="shared" ref="F122:G123" si="33">F123</f>
        <v>178334.8</v>
      </c>
      <c r="G122" s="32">
        <f t="shared" si="33"/>
        <v>181922.19999999998</v>
      </c>
    </row>
    <row r="123" spans="1:7" ht="63" outlineLevel="1" x14ac:dyDescent="0.25">
      <c r="A123" s="9" t="s">
        <v>69</v>
      </c>
      <c r="B123" s="19" t="s">
        <v>70</v>
      </c>
      <c r="C123" s="19"/>
      <c r="D123" s="10"/>
      <c r="E123" s="20">
        <f>E124</f>
        <v>187162.5</v>
      </c>
      <c r="F123" s="20">
        <f t="shared" si="33"/>
        <v>178334.8</v>
      </c>
      <c r="G123" s="20">
        <f t="shared" si="33"/>
        <v>181922.19999999998</v>
      </c>
    </row>
    <row r="124" spans="1:7" ht="47.25" outlineLevel="2" x14ac:dyDescent="0.25">
      <c r="A124" s="9" t="s">
        <v>49</v>
      </c>
      <c r="B124" s="19" t="s">
        <v>70</v>
      </c>
      <c r="C124" s="19" t="s">
        <v>50</v>
      </c>
      <c r="D124" s="10"/>
      <c r="E124" s="3">
        <f>E125+E129</f>
        <v>187162.5</v>
      </c>
      <c r="F124" s="3">
        <f t="shared" ref="F124:G124" si="34">F125+F129</f>
        <v>178334.8</v>
      </c>
      <c r="G124" s="20">
        <f t="shared" si="34"/>
        <v>181922.19999999998</v>
      </c>
    </row>
    <row r="125" spans="1:7" ht="31.5" outlineLevel="2" x14ac:dyDescent="0.25">
      <c r="A125" s="33" t="s">
        <v>155</v>
      </c>
      <c r="B125" s="19" t="s">
        <v>70</v>
      </c>
      <c r="C125" s="19" t="s">
        <v>71</v>
      </c>
      <c r="D125" s="10"/>
      <c r="E125" s="20">
        <f>E126</f>
        <v>3936.2</v>
      </c>
      <c r="F125" s="20">
        <f t="shared" ref="F125:G127" si="35">F126</f>
        <v>3932</v>
      </c>
      <c r="G125" s="20">
        <f t="shared" si="35"/>
        <v>3932</v>
      </c>
    </row>
    <row r="126" spans="1:7" ht="47.25" outlineLevel="2" x14ac:dyDescent="0.25">
      <c r="A126" s="33" t="s">
        <v>145</v>
      </c>
      <c r="B126" s="19" t="s">
        <v>70</v>
      </c>
      <c r="C126" s="19" t="s">
        <v>72</v>
      </c>
      <c r="D126" s="10"/>
      <c r="E126" s="20">
        <f>E127</f>
        <v>3936.2</v>
      </c>
      <c r="F126" s="20">
        <f t="shared" si="35"/>
        <v>3932</v>
      </c>
      <c r="G126" s="20">
        <f t="shared" si="35"/>
        <v>3932</v>
      </c>
    </row>
    <row r="127" spans="1:7" ht="31.5" outlineLevel="2" x14ac:dyDescent="0.25">
      <c r="A127" s="33" t="s">
        <v>146</v>
      </c>
      <c r="B127" s="19" t="s">
        <v>70</v>
      </c>
      <c r="C127" s="19" t="s">
        <v>147</v>
      </c>
      <c r="D127" s="10"/>
      <c r="E127" s="3">
        <f>E128</f>
        <v>3936.2</v>
      </c>
      <c r="F127" s="3">
        <f t="shared" si="35"/>
        <v>3932</v>
      </c>
      <c r="G127" s="20">
        <f t="shared" si="35"/>
        <v>3932</v>
      </c>
    </row>
    <row r="128" spans="1:7" ht="31.5" outlineLevel="2" x14ac:dyDescent="0.25">
      <c r="A128" s="21" t="s">
        <v>76</v>
      </c>
      <c r="B128" s="19" t="s">
        <v>70</v>
      </c>
      <c r="C128" s="19" t="s">
        <v>147</v>
      </c>
      <c r="D128" s="10">
        <v>200</v>
      </c>
      <c r="E128" s="20">
        <f>2281.2+99.3+1555.7</f>
        <v>3936.2</v>
      </c>
      <c r="F128" s="20">
        <f>2281.2+99+1551.8</f>
        <v>3932</v>
      </c>
      <c r="G128" s="20">
        <f>2281.2+99+1551.8</f>
        <v>3932</v>
      </c>
    </row>
    <row r="129" spans="1:7" outlineLevel="2" x14ac:dyDescent="0.25">
      <c r="A129" s="21" t="s">
        <v>144</v>
      </c>
      <c r="B129" s="19" t="s">
        <v>70</v>
      </c>
      <c r="C129" s="19" t="s">
        <v>73</v>
      </c>
      <c r="D129" s="10"/>
      <c r="E129" s="20">
        <f>E130</f>
        <v>183226.3</v>
      </c>
      <c r="F129" s="20">
        <f t="shared" ref="F129:G129" si="36">F130</f>
        <v>174402.8</v>
      </c>
      <c r="G129" s="20">
        <f t="shared" si="36"/>
        <v>177990.19999999998</v>
      </c>
    </row>
    <row r="130" spans="1:7" ht="126" outlineLevel="2" x14ac:dyDescent="0.25">
      <c r="A130" s="21" t="s">
        <v>506</v>
      </c>
      <c r="B130" s="19" t="s">
        <v>70</v>
      </c>
      <c r="C130" s="19" t="s">
        <v>74</v>
      </c>
      <c r="D130" s="10"/>
      <c r="E130" s="3">
        <f>E131+E133+E135+E139</f>
        <v>183226.3</v>
      </c>
      <c r="F130" s="3">
        <f t="shared" ref="F130:G130" si="37">F131+F133+F135+F139</f>
        <v>174402.8</v>
      </c>
      <c r="G130" s="20">
        <f t="shared" si="37"/>
        <v>177990.19999999998</v>
      </c>
    </row>
    <row r="131" spans="1:7" ht="31.5" outlineLevel="2" x14ac:dyDescent="0.25">
      <c r="A131" s="21" t="s">
        <v>491</v>
      </c>
      <c r="B131" s="19" t="s">
        <v>70</v>
      </c>
      <c r="C131" s="19" t="s">
        <v>148</v>
      </c>
      <c r="D131" s="10"/>
      <c r="E131" s="20">
        <f>E132</f>
        <v>49591.6</v>
      </c>
      <c r="F131" s="20">
        <f>F132</f>
        <v>49591.6</v>
      </c>
      <c r="G131" s="20">
        <f>G132</f>
        <v>49591.6</v>
      </c>
    </row>
    <row r="132" spans="1:7" ht="31.5" outlineLevel="2" x14ac:dyDescent="0.25">
      <c r="A132" s="21" t="s">
        <v>76</v>
      </c>
      <c r="B132" s="19" t="s">
        <v>70</v>
      </c>
      <c r="C132" s="19" t="s">
        <v>148</v>
      </c>
      <c r="D132" s="10">
        <v>200</v>
      </c>
      <c r="E132" s="20">
        <v>49591.6</v>
      </c>
      <c r="F132" s="20">
        <v>49591.6</v>
      </c>
      <c r="G132" s="20">
        <v>49591.6</v>
      </c>
    </row>
    <row r="133" spans="1:7" ht="63" outlineLevel="2" x14ac:dyDescent="0.25">
      <c r="A133" s="21" t="s">
        <v>149</v>
      </c>
      <c r="B133" s="19" t="s">
        <v>70</v>
      </c>
      <c r="C133" s="19" t="s">
        <v>150</v>
      </c>
      <c r="D133" s="10"/>
      <c r="E133" s="3">
        <f>E134</f>
        <v>9282.5</v>
      </c>
      <c r="F133" s="3">
        <f t="shared" ref="F133:G133" si="38">F134</f>
        <v>6539.7</v>
      </c>
      <c r="G133" s="20">
        <f t="shared" si="38"/>
        <v>6539.7</v>
      </c>
    </row>
    <row r="134" spans="1:7" ht="31.5" outlineLevel="2" x14ac:dyDescent="0.25">
      <c r="A134" s="21" t="s">
        <v>76</v>
      </c>
      <c r="B134" s="19" t="s">
        <v>70</v>
      </c>
      <c r="C134" s="19" t="s">
        <v>150</v>
      </c>
      <c r="D134" s="10">
        <v>200</v>
      </c>
      <c r="E134" s="20">
        <f>5306.5+1233.2+2742.8</f>
        <v>9282.5</v>
      </c>
      <c r="F134" s="20">
        <f t="shared" ref="F134:G134" si="39">5306.5+1233.2</f>
        <v>6539.7</v>
      </c>
      <c r="G134" s="20">
        <f t="shared" si="39"/>
        <v>6539.7</v>
      </c>
    </row>
    <row r="135" spans="1:7" ht="47.25" outlineLevel="2" x14ac:dyDescent="0.25">
      <c r="A135" s="21" t="s">
        <v>151</v>
      </c>
      <c r="B135" s="19" t="s">
        <v>70</v>
      </c>
      <c r="C135" s="19" t="s">
        <v>152</v>
      </c>
      <c r="D135" s="10"/>
      <c r="E135" s="20">
        <f>E136+E137+E138</f>
        <v>123315.49999999999</v>
      </c>
      <c r="F135" s="20">
        <f t="shared" ref="F135:G135" si="40">F136+F137+F138</f>
        <v>118271.5</v>
      </c>
      <c r="G135" s="20">
        <f t="shared" si="40"/>
        <v>121858.9</v>
      </c>
    </row>
    <row r="136" spans="1:7" ht="94.5" outlineLevel="2" x14ac:dyDescent="0.25">
      <c r="A136" s="18" t="s">
        <v>13</v>
      </c>
      <c r="B136" s="19" t="s">
        <v>70</v>
      </c>
      <c r="C136" s="19" t="s">
        <v>152</v>
      </c>
      <c r="D136" s="10">
        <v>100</v>
      </c>
      <c r="E136" s="3">
        <f>98700.9+676.7+4192.2</f>
        <v>103569.79999999999</v>
      </c>
      <c r="F136" s="3">
        <f>102447+676.7-99</f>
        <v>103024.7</v>
      </c>
      <c r="G136" s="20">
        <f>106341.7+676.7-99</f>
        <v>106919.4</v>
      </c>
    </row>
    <row r="137" spans="1:7" ht="31.5" outlineLevel="2" x14ac:dyDescent="0.25">
      <c r="A137" s="18" t="s">
        <v>76</v>
      </c>
      <c r="B137" s="19" t="s">
        <v>70</v>
      </c>
      <c r="C137" s="19" t="s">
        <v>152</v>
      </c>
      <c r="D137" s="10">
        <v>200</v>
      </c>
      <c r="E137" s="20">
        <f>675.7+681.1+232.1+250+1499.9+4839.1+406.6+397.9+1300+580+7589.2-1233.2+291.3+800+300+291.2</f>
        <v>18900.899999999998</v>
      </c>
      <c r="F137" s="20">
        <f>675.7+681.1+250+1499.9+5085.2+406.6+397.9+1300+580+4758.8-1233.2</f>
        <v>14402</v>
      </c>
      <c r="G137" s="20">
        <f>675.7+281.1+250+1499.9+5324.9+406.6+397.9+1300+580+4611.8-1233.2</f>
        <v>14094.7</v>
      </c>
    </row>
    <row r="138" spans="1:7" outlineLevel="2" x14ac:dyDescent="0.25">
      <c r="A138" s="23" t="s">
        <v>33</v>
      </c>
      <c r="B138" s="19" t="s">
        <v>70</v>
      </c>
      <c r="C138" s="19" t="s">
        <v>152</v>
      </c>
      <c r="D138" s="10">
        <v>800</v>
      </c>
      <c r="E138" s="20">
        <v>844.8</v>
      </c>
      <c r="F138" s="20">
        <v>844.8</v>
      </c>
      <c r="G138" s="20">
        <v>844.8</v>
      </c>
    </row>
    <row r="139" spans="1:7" ht="78.75" outlineLevel="2" x14ac:dyDescent="0.25">
      <c r="A139" s="23" t="s">
        <v>742</v>
      </c>
      <c r="B139" s="19" t="s">
        <v>70</v>
      </c>
      <c r="C139" s="19" t="s">
        <v>648</v>
      </c>
      <c r="D139" s="10"/>
      <c r="E139" s="3">
        <f>+E140</f>
        <v>1036.7</v>
      </c>
      <c r="F139" s="3">
        <f t="shared" ref="F139:G139" si="41">+F140</f>
        <v>0</v>
      </c>
      <c r="G139" s="20">
        <f t="shared" si="41"/>
        <v>0</v>
      </c>
    </row>
    <row r="140" spans="1:7" ht="31.5" outlineLevel="2" x14ac:dyDescent="0.25">
      <c r="A140" s="34" t="s">
        <v>20</v>
      </c>
      <c r="B140" s="19" t="s">
        <v>70</v>
      </c>
      <c r="C140" s="19" t="s">
        <v>648</v>
      </c>
      <c r="D140" s="19" t="s">
        <v>557</v>
      </c>
      <c r="E140" s="20">
        <f>1327.9-291.2</f>
        <v>1036.7</v>
      </c>
      <c r="F140" s="20">
        <v>0</v>
      </c>
      <c r="G140" s="20">
        <v>0</v>
      </c>
    </row>
    <row r="141" spans="1:7" x14ac:dyDescent="0.25">
      <c r="A141" s="35" t="s">
        <v>48</v>
      </c>
      <c r="B141" s="36" t="s">
        <v>290</v>
      </c>
      <c r="C141" s="37"/>
      <c r="D141" s="37"/>
      <c r="E141" s="17">
        <f>E152+E164+E257+E142+E148</f>
        <v>1974595.2</v>
      </c>
      <c r="F141" s="17">
        <f>F152+F164+F257+F142</f>
        <v>1414914</v>
      </c>
      <c r="G141" s="17">
        <f>G152+G164+G257+G142</f>
        <v>557136.10000000009</v>
      </c>
    </row>
    <row r="142" spans="1:7" outlineLevel="1" x14ac:dyDescent="0.25">
      <c r="A142" s="9" t="s">
        <v>377</v>
      </c>
      <c r="B142" s="24" t="s">
        <v>378</v>
      </c>
      <c r="C142" s="24"/>
      <c r="D142" s="25"/>
      <c r="E142" s="20">
        <f>E143</f>
        <v>20296.900000000001</v>
      </c>
      <c r="F142" s="20">
        <f>F143</f>
        <v>20296.900000000001</v>
      </c>
      <c r="G142" s="20">
        <f t="shared" ref="F142:G146" si="42">G143</f>
        <v>20296.900000000001</v>
      </c>
    </row>
    <row r="143" spans="1:7" ht="47.25" outlineLevel="2" x14ac:dyDescent="0.25">
      <c r="A143" s="21" t="s">
        <v>49</v>
      </c>
      <c r="B143" s="24" t="s">
        <v>378</v>
      </c>
      <c r="C143" s="19" t="s">
        <v>50</v>
      </c>
      <c r="D143" s="25"/>
      <c r="E143" s="20">
        <f>E144</f>
        <v>20296.900000000001</v>
      </c>
      <c r="F143" s="20">
        <f t="shared" si="42"/>
        <v>20296.900000000001</v>
      </c>
      <c r="G143" s="20">
        <f t="shared" si="42"/>
        <v>20296.900000000001</v>
      </c>
    </row>
    <row r="144" spans="1:7" ht="31.5" outlineLevel="2" x14ac:dyDescent="0.25">
      <c r="A144" s="18" t="s">
        <v>155</v>
      </c>
      <c r="B144" s="24" t="s">
        <v>378</v>
      </c>
      <c r="C144" s="24" t="s">
        <v>71</v>
      </c>
      <c r="D144" s="25"/>
      <c r="E144" s="3">
        <f>E145</f>
        <v>20296.900000000001</v>
      </c>
      <c r="F144" s="3">
        <f t="shared" si="42"/>
        <v>20296.900000000001</v>
      </c>
      <c r="G144" s="3">
        <f t="shared" si="42"/>
        <v>20296.900000000001</v>
      </c>
    </row>
    <row r="145" spans="1:7" ht="47.25" outlineLevel="2" x14ac:dyDescent="0.25">
      <c r="A145" s="18" t="s">
        <v>379</v>
      </c>
      <c r="B145" s="24" t="s">
        <v>378</v>
      </c>
      <c r="C145" s="24" t="s">
        <v>380</v>
      </c>
      <c r="D145" s="25"/>
      <c r="E145" s="20">
        <f>E146</f>
        <v>20296.900000000001</v>
      </c>
      <c r="F145" s="20">
        <f t="shared" si="42"/>
        <v>20296.900000000001</v>
      </c>
      <c r="G145" s="20">
        <f t="shared" si="42"/>
        <v>20296.900000000001</v>
      </c>
    </row>
    <row r="146" spans="1:7" ht="71.25" customHeight="1" outlineLevel="2" x14ac:dyDescent="0.25">
      <c r="A146" s="1" t="s">
        <v>381</v>
      </c>
      <c r="B146" s="24" t="s">
        <v>378</v>
      </c>
      <c r="C146" s="19" t="s">
        <v>382</v>
      </c>
      <c r="D146" s="25"/>
      <c r="E146" s="20">
        <f>E147</f>
        <v>20296.900000000001</v>
      </c>
      <c r="F146" s="20">
        <f t="shared" si="42"/>
        <v>20296.900000000001</v>
      </c>
      <c r="G146" s="20">
        <f t="shared" si="42"/>
        <v>20296.900000000001</v>
      </c>
    </row>
    <row r="147" spans="1:7" ht="31.5" outlineLevel="2" x14ac:dyDescent="0.25">
      <c r="A147" s="21" t="s">
        <v>76</v>
      </c>
      <c r="B147" s="24" t="s">
        <v>378</v>
      </c>
      <c r="C147" s="19" t="s">
        <v>382</v>
      </c>
      <c r="D147" s="25">
        <v>200</v>
      </c>
      <c r="E147" s="3">
        <f>18864.2-65.7+1498.4</f>
        <v>20296.900000000001</v>
      </c>
      <c r="F147" s="3">
        <f>18864.2-65.7+1498.4</f>
        <v>20296.900000000001</v>
      </c>
      <c r="G147" s="3">
        <f>18864.2-65.7+1498.4</f>
        <v>20296.900000000001</v>
      </c>
    </row>
    <row r="148" spans="1:7" outlineLevel="2" x14ac:dyDescent="0.25">
      <c r="A148" s="21" t="s">
        <v>649</v>
      </c>
      <c r="B148" s="19" t="s">
        <v>651</v>
      </c>
      <c r="C148" s="19"/>
      <c r="D148" s="19"/>
      <c r="E148" s="20">
        <f>+E149</f>
        <v>232.6</v>
      </c>
      <c r="F148" s="20">
        <f t="shared" ref="F148:G150" si="43">+F149</f>
        <v>0</v>
      </c>
      <c r="G148" s="20">
        <f t="shared" si="43"/>
        <v>0</v>
      </c>
    </row>
    <row r="149" spans="1:7" outlineLevel="2" x14ac:dyDescent="0.25">
      <c r="A149" s="18" t="s">
        <v>9</v>
      </c>
      <c r="B149" s="19" t="s">
        <v>651</v>
      </c>
      <c r="C149" s="19" t="s">
        <v>10</v>
      </c>
      <c r="D149" s="19"/>
      <c r="E149" s="20">
        <f>+E150</f>
        <v>232.6</v>
      </c>
      <c r="F149" s="20">
        <f t="shared" si="43"/>
        <v>0</v>
      </c>
      <c r="G149" s="20">
        <f t="shared" si="43"/>
        <v>0</v>
      </c>
    </row>
    <row r="150" spans="1:7" ht="94.5" outlineLevel="2" x14ac:dyDescent="0.25">
      <c r="A150" s="21" t="s">
        <v>650</v>
      </c>
      <c r="B150" s="19" t="s">
        <v>651</v>
      </c>
      <c r="C150" s="19" t="s">
        <v>652</v>
      </c>
      <c r="D150" s="19"/>
      <c r="E150" s="3">
        <f>+E151</f>
        <v>232.6</v>
      </c>
      <c r="F150" s="3">
        <f t="shared" si="43"/>
        <v>0</v>
      </c>
      <c r="G150" s="3">
        <f t="shared" si="43"/>
        <v>0</v>
      </c>
    </row>
    <row r="151" spans="1:7" ht="47.25" outlineLevel="2" x14ac:dyDescent="0.25">
      <c r="A151" s="23" t="s">
        <v>310</v>
      </c>
      <c r="B151" s="19" t="s">
        <v>651</v>
      </c>
      <c r="C151" s="19" t="s">
        <v>652</v>
      </c>
      <c r="D151" s="19" t="s">
        <v>464</v>
      </c>
      <c r="E151" s="20">
        <v>232.6</v>
      </c>
      <c r="F151" s="20">
        <v>0</v>
      </c>
      <c r="G151" s="20">
        <v>0</v>
      </c>
    </row>
    <row r="152" spans="1:7" outlineLevel="1" x14ac:dyDescent="0.25">
      <c r="A152" s="34" t="s">
        <v>291</v>
      </c>
      <c r="B152" s="24" t="s">
        <v>292</v>
      </c>
      <c r="C152" s="36"/>
      <c r="D152" s="2"/>
      <c r="E152" s="20">
        <f>E153</f>
        <v>150244.5</v>
      </c>
      <c r="F152" s="20">
        <f t="shared" ref="F152:G154" si="44">F153</f>
        <v>66734.5</v>
      </c>
      <c r="G152" s="20">
        <f t="shared" si="44"/>
        <v>69403.900000000009</v>
      </c>
    </row>
    <row r="153" spans="1:7" ht="31.5" outlineLevel="2" x14ac:dyDescent="0.25">
      <c r="A153" s="34" t="s">
        <v>293</v>
      </c>
      <c r="B153" s="24" t="s">
        <v>292</v>
      </c>
      <c r="C153" s="24" t="s">
        <v>294</v>
      </c>
      <c r="D153" s="25"/>
      <c r="E153" s="3">
        <f>E154</f>
        <v>150244.5</v>
      </c>
      <c r="F153" s="3">
        <f t="shared" si="44"/>
        <v>66734.5</v>
      </c>
      <c r="G153" s="3">
        <f t="shared" si="44"/>
        <v>69403.900000000009</v>
      </c>
    </row>
    <row r="154" spans="1:7" outlineLevel="2" x14ac:dyDescent="0.25">
      <c r="A154" s="33" t="s">
        <v>144</v>
      </c>
      <c r="B154" s="31" t="s">
        <v>292</v>
      </c>
      <c r="C154" s="31" t="s">
        <v>295</v>
      </c>
      <c r="D154" s="25"/>
      <c r="E154" s="20">
        <f>E155</f>
        <v>150244.5</v>
      </c>
      <c r="F154" s="20">
        <f t="shared" si="44"/>
        <v>66734.5</v>
      </c>
      <c r="G154" s="20">
        <f t="shared" si="44"/>
        <v>69403.900000000009</v>
      </c>
    </row>
    <row r="155" spans="1:7" ht="78.75" outlineLevel="2" x14ac:dyDescent="0.25">
      <c r="A155" s="34" t="s">
        <v>492</v>
      </c>
      <c r="B155" s="24" t="s">
        <v>292</v>
      </c>
      <c r="C155" s="24" t="s">
        <v>296</v>
      </c>
      <c r="D155" s="25"/>
      <c r="E155" s="20">
        <f>E156+E158+E160+E162</f>
        <v>150244.5</v>
      </c>
      <c r="F155" s="20">
        <f t="shared" ref="F155:G155" si="45">F156+F158+F160+F162</f>
        <v>66734.5</v>
      </c>
      <c r="G155" s="20">
        <f t="shared" si="45"/>
        <v>69403.900000000009</v>
      </c>
    </row>
    <row r="156" spans="1:7" ht="78.75" outlineLevel="2" x14ac:dyDescent="0.25">
      <c r="A156" s="21" t="s">
        <v>297</v>
      </c>
      <c r="B156" s="24" t="s">
        <v>292</v>
      </c>
      <c r="C156" s="24" t="s">
        <v>298</v>
      </c>
      <c r="D156" s="25"/>
      <c r="E156" s="3">
        <f>E157</f>
        <v>0.1</v>
      </c>
      <c r="F156" s="3">
        <f t="shared" ref="F156:G156" si="46">F157</f>
        <v>0.1</v>
      </c>
      <c r="G156" s="3">
        <f t="shared" si="46"/>
        <v>0.1</v>
      </c>
    </row>
    <row r="157" spans="1:7" ht="31.5" outlineLevel="2" x14ac:dyDescent="0.25">
      <c r="A157" s="21" t="s">
        <v>76</v>
      </c>
      <c r="B157" s="24" t="s">
        <v>292</v>
      </c>
      <c r="C157" s="24" t="s">
        <v>298</v>
      </c>
      <c r="D157" s="25">
        <v>200</v>
      </c>
      <c r="E157" s="20">
        <v>0.1</v>
      </c>
      <c r="F157" s="20">
        <v>0.1</v>
      </c>
      <c r="G157" s="20">
        <v>0.1</v>
      </c>
    </row>
    <row r="158" spans="1:7" ht="63" outlineLevel="2" x14ac:dyDescent="0.25">
      <c r="A158" s="34" t="s">
        <v>299</v>
      </c>
      <c r="B158" s="24" t="s">
        <v>292</v>
      </c>
      <c r="C158" s="24" t="s">
        <v>300</v>
      </c>
      <c r="D158" s="25"/>
      <c r="E158" s="20">
        <f>E159</f>
        <v>91442.700000000012</v>
      </c>
      <c r="F158" s="20">
        <f t="shared" ref="F158:G158" si="47">F159</f>
        <v>66042.399999999994</v>
      </c>
      <c r="G158" s="20">
        <f t="shared" si="47"/>
        <v>68684.100000000006</v>
      </c>
    </row>
    <row r="159" spans="1:7" outlineLevel="2" x14ac:dyDescent="0.25">
      <c r="A159" s="38" t="s">
        <v>33</v>
      </c>
      <c r="B159" s="24" t="s">
        <v>292</v>
      </c>
      <c r="C159" s="24" t="s">
        <v>300</v>
      </c>
      <c r="D159" s="25">
        <v>800</v>
      </c>
      <c r="E159" s="3">
        <f>63502.3+27940.4</f>
        <v>91442.700000000012</v>
      </c>
      <c r="F159" s="3">
        <v>66042.399999999994</v>
      </c>
      <c r="G159" s="3">
        <v>68684.100000000006</v>
      </c>
    </row>
    <row r="160" spans="1:7" ht="119.25" customHeight="1" outlineLevel="2" x14ac:dyDescent="0.25">
      <c r="A160" s="38" t="s">
        <v>301</v>
      </c>
      <c r="B160" s="24" t="s">
        <v>292</v>
      </c>
      <c r="C160" s="24" t="s">
        <v>302</v>
      </c>
      <c r="D160" s="25"/>
      <c r="E160" s="20">
        <f>E161</f>
        <v>701.69999999999993</v>
      </c>
      <c r="F160" s="20">
        <f t="shared" ref="F160:G160" si="48">F161</f>
        <v>692</v>
      </c>
      <c r="G160" s="20">
        <f t="shared" si="48"/>
        <v>719.7</v>
      </c>
    </row>
    <row r="161" spans="1:7" outlineLevel="2" x14ac:dyDescent="0.25">
      <c r="A161" s="38" t="s">
        <v>33</v>
      </c>
      <c r="B161" s="24" t="s">
        <v>292</v>
      </c>
      <c r="C161" s="24" t="s">
        <v>302</v>
      </c>
      <c r="D161" s="25">
        <v>800</v>
      </c>
      <c r="E161" s="20">
        <f>665.4+36.3</f>
        <v>701.69999999999993</v>
      </c>
      <c r="F161" s="20">
        <v>692</v>
      </c>
      <c r="G161" s="20">
        <v>719.7</v>
      </c>
    </row>
    <row r="162" spans="1:7" ht="100.5" customHeight="1" outlineLevel="2" x14ac:dyDescent="0.25">
      <c r="A162" s="23" t="s">
        <v>600</v>
      </c>
      <c r="B162" s="19" t="s">
        <v>292</v>
      </c>
      <c r="C162" s="19" t="s">
        <v>601</v>
      </c>
      <c r="D162" s="19"/>
      <c r="E162" s="3">
        <f>E163</f>
        <v>58100</v>
      </c>
      <c r="F162" s="3">
        <f t="shared" ref="F162:G162" si="49">F163</f>
        <v>0</v>
      </c>
      <c r="G162" s="3">
        <f t="shared" si="49"/>
        <v>0</v>
      </c>
    </row>
    <row r="163" spans="1:7" outlineLevel="2" x14ac:dyDescent="0.25">
      <c r="A163" s="23" t="s">
        <v>33</v>
      </c>
      <c r="B163" s="19" t="s">
        <v>292</v>
      </c>
      <c r="C163" s="19" t="s">
        <v>601</v>
      </c>
      <c r="D163" s="19">
        <v>800</v>
      </c>
      <c r="E163" s="20">
        <v>58100</v>
      </c>
      <c r="F163" s="20">
        <v>0</v>
      </c>
      <c r="G163" s="20">
        <v>0</v>
      </c>
    </row>
    <row r="164" spans="1:7" outlineLevel="1" x14ac:dyDescent="0.25">
      <c r="A164" s="34" t="s">
        <v>303</v>
      </c>
      <c r="B164" s="24" t="s">
        <v>304</v>
      </c>
      <c r="C164" s="24"/>
      <c r="D164" s="25"/>
      <c r="E164" s="20">
        <f>E165+E252</f>
        <v>1752195.4</v>
      </c>
      <c r="F164" s="20">
        <f>F165+F252</f>
        <v>1315721.3</v>
      </c>
      <c r="G164" s="20">
        <f>G165+G252</f>
        <v>455251.80000000005</v>
      </c>
    </row>
    <row r="165" spans="1:7" ht="31.5" outlineLevel="2" x14ac:dyDescent="0.25">
      <c r="A165" s="34" t="s">
        <v>293</v>
      </c>
      <c r="B165" s="24" t="s">
        <v>304</v>
      </c>
      <c r="C165" s="24" t="s">
        <v>294</v>
      </c>
      <c r="D165" s="25"/>
      <c r="E165" s="3">
        <f>E166+E210+E246</f>
        <v>1751862.7999999998</v>
      </c>
      <c r="F165" s="3">
        <f>F166+F210+F246</f>
        <v>1315721.3</v>
      </c>
      <c r="G165" s="3">
        <f>G166+G210+G246</f>
        <v>455251.80000000005</v>
      </c>
    </row>
    <row r="166" spans="1:7" outlineLevel="2" x14ac:dyDescent="0.25">
      <c r="A166" s="34" t="s">
        <v>228</v>
      </c>
      <c r="B166" s="24" t="s">
        <v>304</v>
      </c>
      <c r="C166" s="24" t="s">
        <v>305</v>
      </c>
      <c r="D166" s="25"/>
      <c r="E166" s="20">
        <f>+E167</f>
        <v>888650</v>
      </c>
      <c r="F166" s="20">
        <f t="shared" ref="F166:G166" si="50">+F167</f>
        <v>801881.5</v>
      </c>
      <c r="G166" s="20">
        <f t="shared" si="50"/>
        <v>5</v>
      </c>
    </row>
    <row r="167" spans="1:7" ht="31.5" outlineLevel="2" x14ac:dyDescent="0.25">
      <c r="A167" s="18" t="s">
        <v>571</v>
      </c>
      <c r="B167" s="19" t="s">
        <v>304</v>
      </c>
      <c r="C167" s="19" t="s">
        <v>572</v>
      </c>
      <c r="D167" s="19"/>
      <c r="E167" s="20">
        <f>E168+E170+E172+E174+E176+E178+E180+E182+E188+E184+E186+E190+E192+E194+E196+E198+E200+E202+E204+E208+E206</f>
        <v>888650</v>
      </c>
      <c r="F167" s="20">
        <f t="shared" ref="F167:G167" si="51">F168+F170+F172+F174+F176+F178+F180+F182+F188+F184+F186+F190+F192+F194+F196+F198+F200+F202+F204+F208+F206</f>
        <v>801881.5</v>
      </c>
      <c r="G167" s="20">
        <f t="shared" si="51"/>
        <v>5</v>
      </c>
    </row>
    <row r="168" spans="1:7" ht="78.75" outlineLevel="2" x14ac:dyDescent="0.25">
      <c r="A168" s="39" t="s">
        <v>655</v>
      </c>
      <c r="B168" s="19" t="s">
        <v>304</v>
      </c>
      <c r="C168" s="40" t="s">
        <v>656</v>
      </c>
      <c r="D168" s="19"/>
      <c r="E168" s="20">
        <f>+E169</f>
        <v>31678.799999999999</v>
      </c>
      <c r="F168" s="20">
        <f t="shared" ref="F168:G168" si="52">+F169</f>
        <v>0</v>
      </c>
      <c r="G168" s="20">
        <f t="shared" si="52"/>
        <v>0</v>
      </c>
    </row>
    <row r="169" spans="1:7" ht="31.5" outlineLevel="2" x14ac:dyDescent="0.25">
      <c r="A169" s="18" t="s">
        <v>76</v>
      </c>
      <c r="B169" s="19" t="s">
        <v>304</v>
      </c>
      <c r="C169" s="40" t="s">
        <v>656</v>
      </c>
      <c r="D169" s="19" t="s">
        <v>39</v>
      </c>
      <c r="E169" s="3">
        <v>31678.799999999999</v>
      </c>
      <c r="F169" s="3">
        <v>0</v>
      </c>
      <c r="G169" s="3">
        <v>0</v>
      </c>
    </row>
    <row r="170" spans="1:7" ht="78.75" outlineLevel="2" x14ac:dyDescent="0.25">
      <c r="A170" s="39" t="s">
        <v>657</v>
      </c>
      <c r="B170" s="19" t="s">
        <v>304</v>
      </c>
      <c r="C170" s="40" t="s">
        <v>660</v>
      </c>
      <c r="D170" s="19"/>
      <c r="E170" s="20">
        <f t="shared" ref="E170:G170" si="53">E171</f>
        <v>49849.2</v>
      </c>
      <c r="F170" s="20">
        <f t="shared" si="53"/>
        <v>0</v>
      </c>
      <c r="G170" s="20">
        <f t="shared" si="53"/>
        <v>0</v>
      </c>
    </row>
    <row r="171" spans="1:7" ht="31.5" outlineLevel="2" x14ac:dyDescent="0.25">
      <c r="A171" s="18" t="s">
        <v>76</v>
      </c>
      <c r="B171" s="19" t="s">
        <v>304</v>
      </c>
      <c r="C171" s="40" t="s">
        <v>660</v>
      </c>
      <c r="D171" s="19" t="s">
        <v>39</v>
      </c>
      <c r="E171" s="20">
        <v>49849.2</v>
      </c>
      <c r="F171" s="20">
        <v>0</v>
      </c>
      <c r="G171" s="20">
        <v>0</v>
      </c>
    </row>
    <row r="172" spans="1:7" ht="78.75" outlineLevel="2" x14ac:dyDescent="0.25">
      <c r="A172" s="39" t="s">
        <v>658</v>
      </c>
      <c r="B172" s="19" t="s">
        <v>304</v>
      </c>
      <c r="C172" s="40" t="s">
        <v>661</v>
      </c>
      <c r="D172" s="19"/>
      <c r="E172" s="3">
        <f t="shared" ref="E172:G172" si="54">E173</f>
        <v>73740.399999999994</v>
      </c>
      <c r="F172" s="3">
        <f t="shared" si="54"/>
        <v>0</v>
      </c>
      <c r="G172" s="3">
        <f t="shared" si="54"/>
        <v>0</v>
      </c>
    </row>
    <row r="173" spans="1:7" ht="31.5" outlineLevel="2" x14ac:dyDescent="0.25">
      <c r="A173" s="18" t="s">
        <v>76</v>
      </c>
      <c r="B173" s="19" t="s">
        <v>304</v>
      </c>
      <c r="C173" s="40" t="s">
        <v>661</v>
      </c>
      <c r="D173" s="19" t="s">
        <v>39</v>
      </c>
      <c r="E173" s="20">
        <v>73740.399999999994</v>
      </c>
      <c r="F173" s="20">
        <v>0</v>
      </c>
      <c r="G173" s="20">
        <v>0</v>
      </c>
    </row>
    <row r="174" spans="1:7" ht="78.75" outlineLevel="2" x14ac:dyDescent="0.25">
      <c r="A174" s="39" t="s">
        <v>659</v>
      </c>
      <c r="B174" s="19" t="s">
        <v>304</v>
      </c>
      <c r="C174" s="40" t="s">
        <v>662</v>
      </c>
      <c r="D174" s="19"/>
      <c r="E174" s="20">
        <f t="shared" ref="E174:G174" si="55">E175</f>
        <v>0</v>
      </c>
      <c r="F174" s="20">
        <f t="shared" si="55"/>
        <v>55666.400000000001</v>
      </c>
      <c r="G174" s="20">
        <f t="shared" si="55"/>
        <v>0</v>
      </c>
    </row>
    <row r="175" spans="1:7" ht="31.5" outlineLevel="2" x14ac:dyDescent="0.25">
      <c r="A175" s="18" t="s">
        <v>76</v>
      </c>
      <c r="B175" s="19" t="s">
        <v>304</v>
      </c>
      <c r="C175" s="40" t="s">
        <v>662</v>
      </c>
      <c r="D175" s="19" t="s">
        <v>39</v>
      </c>
      <c r="E175" s="3">
        <f>55666.4-55666.4</f>
        <v>0</v>
      </c>
      <c r="F175" s="3">
        <v>55666.400000000001</v>
      </c>
      <c r="G175" s="3">
        <v>0</v>
      </c>
    </row>
    <row r="176" spans="1:7" ht="78.75" outlineLevel="2" x14ac:dyDescent="0.25">
      <c r="A176" s="39" t="s">
        <v>663</v>
      </c>
      <c r="B176" s="19" t="s">
        <v>304</v>
      </c>
      <c r="C176" s="40" t="s">
        <v>666</v>
      </c>
      <c r="D176" s="19"/>
      <c r="E176" s="20">
        <f t="shared" ref="E176:G176" si="56">E177</f>
        <v>0</v>
      </c>
      <c r="F176" s="20">
        <f t="shared" si="56"/>
        <v>20767.599999999999</v>
      </c>
      <c r="G176" s="20">
        <f t="shared" si="56"/>
        <v>0</v>
      </c>
    </row>
    <row r="177" spans="1:7" ht="31.5" outlineLevel="2" x14ac:dyDescent="0.25">
      <c r="A177" s="18" t="s">
        <v>76</v>
      </c>
      <c r="B177" s="19" t="s">
        <v>304</v>
      </c>
      <c r="C177" s="40" t="s">
        <v>666</v>
      </c>
      <c r="D177" s="19" t="s">
        <v>39</v>
      </c>
      <c r="E177" s="20">
        <f>24380.6-24380.6</f>
        <v>0</v>
      </c>
      <c r="F177" s="20">
        <v>20767.599999999999</v>
      </c>
      <c r="G177" s="20">
        <v>0</v>
      </c>
    </row>
    <row r="178" spans="1:7" ht="78.75" outlineLevel="2" x14ac:dyDescent="0.25">
      <c r="A178" s="39" t="s">
        <v>664</v>
      </c>
      <c r="B178" s="19" t="s">
        <v>304</v>
      </c>
      <c r="C178" s="40" t="s">
        <v>667</v>
      </c>
      <c r="D178" s="19"/>
      <c r="E178" s="3">
        <f t="shared" ref="E178:G178" si="57">E179</f>
        <v>4209.7999999999993</v>
      </c>
      <c r="F178" s="3">
        <f t="shared" si="57"/>
        <v>17513.400000000001</v>
      </c>
      <c r="G178" s="3">
        <f t="shared" si="57"/>
        <v>0</v>
      </c>
    </row>
    <row r="179" spans="1:7" ht="31.5" outlineLevel="2" x14ac:dyDescent="0.25">
      <c r="A179" s="18" t="s">
        <v>76</v>
      </c>
      <c r="B179" s="19" t="s">
        <v>304</v>
      </c>
      <c r="C179" s="40" t="s">
        <v>667</v>
      </c>
      <c r="D179" s="19" t="s">
        <v>39</v>
      </c>
      <c r="E179" s="20">
        <f>20927.5-16717.7</f>
        <v>4209.7999999999993</v>
      </c>
      <c r="F179" s="20">
        <v>17513.400000000001</v>
      </c>
      <c r="G179" s="20">
        <v>0</v>
      </c>
    </row>
    <row r="180" spans="1:7" ht="78.75" outlineLevel="2" x14ac:dyDescent="0.25">
      <c r="A180" s="39" t="s">
        <v>665</v>
      </c>
      <c r="B180" s="19" t="s">
        <v>304</v>
      </c>
      <c r="C180" s="40" t="s">
        <v>668</v>
      </c>
      <c r="D180" s="19"/>
      <c r="E180" s="20">
        <f t="shared" ref="E180:G180" si="58">E181</f>
        <v>43293.599999999999</v>
      </c>
      <c r="F180" s="20">
        <f t="shared" si="58"/>
        <v>0</v>
      </c>
      <c r="G180" s="20">
        <f t="shared" si="58"/>
        <v>0</v>
      </c>
    </row>
    <row r="181" spans="1:7" ht="31.5" outlineLevel="2" x14ac:dyDescent="0.25">
      <c r="A181" s="18" t="s">
        <v>76</v>
      </c>
      <c r="B181" s="19" t="s">
        <v>304</v>
      </c>
      <c r="C181" s="40" t="s">
        <v>668</v>
      </c>
      <c r="D181" s="19" t="s">
        <v>39</v>
      </c>
      <c r="E181" s="3">
        <f>42075.1+1218.5</f>
        <v>43293.599999999999</v>
      </c>
      <c r="F181" s="3">
        <v>0</v>
      </c>
      <c r="G181" s="3">
        <v>0</v>
      </c>
    </row>
    <row r="182" spans="1:7" ht="78.75" outlineLevel="2" x14ac:dyDescent="0.25">
      <c r="A182" s="39" t="s">
        <v>669</v>
      </c>
      <c r="B182" s="19" t="s">
        <v>304</v>
      </c>
      <c r="C182" s="40" t="s">
        <v>671</v>
      </c>
      <c r="D182" s="19"/>
      <c r="E182" s="20">
        <f t="shared" ref="E182:G182" si="59">E183</f>
        <v>58037.5</v>
      </c>
      <c r="F182" s="20">
        <f t="shared" si="59"/>
        <v>0</v>
      </c>
      <c r="G182" s="20">
        <f t="shared" si="59"/>
        <v>0</v>
      </c>
    </row>
    <row r="183" spans="1:7" ht="31.5" outlineLevel="2" x14ac:dyDescent="0.25">
      <c r="A183" s="18" t="s">
        <v>76</v>
      </c>
      <c r="B183" s="19" t="s">
        <v>304</v>
      </c>
      <c r="C183" s="40" t="s">
        <v>671</v>
      </c>
      <c r="D183" s="19" t="s">
        <v>39</v>
      </c>
      <c r="E183" s="20">
        <f>56260.7+1776.8</f>
        <v>58037.5</v>
      </c>
      <c r="F183" s="20">
        <v>0</v>
      </c>
      <c r="G183" s="20">
        <v>0</v>
      </c>
    </row>
    <row r="184" spans="1:7" ht="78.75" outlineLevel="2" x14ac:dyDescent="0.25">
      <c r="A184" s="39" t="s">
        <v>670</v>
      </c>
      <c r="B184" s="19" t="s">
        <v>304</v>
      </c>
      <c r="C184" s="40" t="s">
        <v>672</v>
      </c>
      <c r="D184" s="19"/>
      <c r="E184" s="3">
        <f t="shared" ref="E184:G184" si="60">E185</f>
        <v>47617.2</v>
      </c>
      <c r="F184" s="3">
        <f t="shared" si="60"/>
        <v>0</v>
      </c>
      <c r="G184" s="3">
        <f t="shared" si="60"/>
        <v>0</v>
      </c>
    </row>
    <row r="185" spans="1:7" ht="31.5" outlineLevel="2" x14ac:dyDescent="0.25">
      <c r="A185" s="18" t="s">
        <v>76</v>
      </c>
      <c r="B185" s="19" t="s">
        <v>304</v>
      </c>
      <c r="C185" s="40" t="s">
        <v>672</v>
      </c>
      <c r="D185" s="19" t="s">
        <v>39</v>
      </c>
      <c r="E185" s="20">
        <f>45758.7+1858.5</f>
        <v>47617.2</v>
      </c>
      <c r="F185" s="20">
        <v>0</v>
      </c>
      <c r="G185" s="20">
        <v>0</v>
      </c>
    </row>
    <row r="186" spans="1:7" ht="78.75" outlineLevel="2" x14ac:dyDescent="0.25">
      <c r="A186" s="39" t="s">
        <v>673</v>
      </c>
      <c r="B186" s="19" t="s">
        <v>304</v>
      </c>
      <c r="C186" s="40" t="s">
        <v>677</v>
      </c>
      <c r="D186" s="19"/>
      <c r="E186" s="20">
        <f t="shared" ref="E186:G186" si="61">E187</f>
        <v>47295.6</v>
      </c>
      <c r="F186" s="20">
        <f t="shared" si="61"/>
        <v>0</v>
      </c>
      <c r="G186" s="20">
        <f t="shared" si="61"/>
        <v>0</v>
      </c>
    </row>
    <row r="187" spans="1:7" ht="31.5" outlineLevel="2" x14ac:dyDescent="0.25">
      <c r="A187" s="18" t="s">
        <v>76</v>
      </c>
      <c r="B187" s="19" t="s">
        <v>304</v>
      </c>
      <c r="C187" s="40" t="s">
        <v>677</v>
      </c>
      <c r="D187" s="19" t="s">
        <v>39</v>
      </c>
      <c r="E187" s="3">
        <f>45800.6+1495</f>
        <v>47295.6</v>
      </c>
      <c r="F187" s="3">
        <v>0</v>
      </c>
      <c r="G187" s="3">
        <v>0</v>
      </c>
    </row>
    <row r="188" spans="1:7" ht="78.75" outlineLevel="2" x14ac:dyDescent="0.25">
      <c r="A188" s="39" t="s">
        <v>674</v>
      </c>
      <c r="B188" s="19" t="s">
        <v>304</v>
      </c>
      <c r="C188" s="40" t="s">
        <v>678</v>
      </c>
      <c r="D188" s="19"/>
      <c r="E188" s="20">
        <f t="shared" ref="E188:G188" si="62">E189</f>
        <v>45449.899999999994</v>
      </c>
      <c r="F188" s="20">
        <f t="shared" si="62"/>
        <v>0</v>
      </c>
      <c r="G188" s="20">
        <f t="shared" si="62"/>
        <v>0</v>
      </c>
    </row>
    <row r="189" spans="1:7" ht="31.5" outlineLevel="2" x14ac:dyDescent="0.25">
      <c r="A189" s="18" t="s">
        <v>76</v>
      </c>
      <c r="B189" s="19" t="s">
        <v>304</v>
      </c>
      <c r="C189" s="40" t="s">
        <v>678</v>
      </c>
      <c r="D189" s="19" t="s">
        <v>39</v>
      </c>
      <c r="E189" s="20">
        <f>44077.7+1372.2</f>
        <v>45449.899999999994</v>
      </c>
      <c r="F189" s="20">
        <v>0</v>
      </c>
      <c r="G189" s="20">
        <v>0</v>
      </c>
    </row>
    <row r="190" spans="1:7" ht="78.75" outlineLevel="2" x14ac:dyDescent="0.25">
      <c r="A190" s="39" t="s">
        <v>675</v>
      </c>
      <c r="B190" s="19" t="s">
        <v>304</v>
      </c>
      <c r="C190" s="40" t="s">
        <v>679</v>
      </c>
      <c r="D190" s="19"/>
      <c r="E190" s="3">
        <f t="shared" ref="E190:G190" si="63">E191</f>
        <v>95571.5</v>
      </c>
      <c r="F190" s="3">
        <f t="shared" si="63"/>
        <v>4530.8999999999996</v>
      </c>
      <c r="G190" s="3">
        <f t="shared" si="63"/>
        <v>0</v>
      </c>
    </row>
    <row r="191" spans="1:7" ht="31.5" outlineLevel="2" x14ac:dyDescent="0.25">
      <c r="A191" s="18" t="s">
        <v>76</v>
      </c>
      <c r="B191" s="19" t="s">
        <v>304</v>
      </c>
      <c r="C191" s="40" t="s">
        <v>679</v>
      </c>
      <c r="D191" s="19" t="s">
        <v>39</v>
      </c>
      <c r="E191" s="20">
        <f>107800.8-12229.3</f>
        <v>95571.5</v>
      </c>
      <c r="F191" s="20">
        <v>4530.8999999999996</v>
      </c>
      <c r="G191" s="20">
        <v>0</v>
      </c>
    </row>
    <row r="192" spans="1:7" ht="78.75" outlineLevel="2" x14ac:dyDescent="0.25">
      <c r="A192" s="39" t="s">
        <v>676</v>
      </c>
      <c r="B192" s="19" t="s">
        <v>304</v>
      </c>
      <c r="C192" s="40" t="s">
        <v>680</v>
      </c>
      <c r="D192" s="19"/>
      <c r="E192" s="20">
        <f t="shared" ref="E192:G192" si="64">E193</f>
        <v>89754.2</v>
      </c>
      <c r="F192" s="20">
        <f t="shared" si="64"/>
        <v>0</v>
      </c>
      <c r="G192" s="20">
        <f t="shared" si="64"/>
        <v>0</v>
      </c>
    </row>
    <row r="193" spans="1:7" ht="31.5" outlineLevel="2" x14ac:dyDescent="0.25">
      <c r="A193" s="18" t="s">
        <v>76</v>
      </c>
      <c r="B193" s="19" t="s">
        <v>304</v>
      </c>
      <c r="C193" s="40" t="s">
        <v>680</v>
      </c>
      <c r="D193" s="19" t="s">
        <v>39</v>
      </c>
      <c r="E193" s="3">
        <f>101983.5-12229.3</f>
        <v>89754.2</v>
      </c>
      <c r="F193" s="3">
        <v>0</v>
      </c>
      <c r="G193" s="3">
        <v>0</v>
      </c>
    </row>
    <row r="194" spans="1:7" ht="78.75" outlineLevel="2" x14ac:dyDescent="0.25">
      <c r="A194" s="39" t="s">
        <v>681</v>
      </c>
      <c r="B194" s="19" t="s">
        <v>304</v>
      </c>
      <c r="C194" s="40" t="s">
        <v>684</v>
      </c>
      <c r="D194" s="19"/>
      <c r="E194" s="20">
        <f t="shared" ref="E194:G194" si="65">E195</f>
        <v>0</v>
      </c>
      <c r="F194" s="20">
        <f t="shared" si="65"/>
        <v>206708.2</v>
      </c>
      <c r="G194" s="20">
        <f t="shared" si="65"/>
        <v>0</v>
      </c>
    </row>
    <row r="195" spans="1:7" ht="31.5" outlineLevel="2" x14ac:dyDescent="0.25">
      <c r="A195" s="18" t="s">
        <v>76</v>
      </c>
      <c r="B195" s="19" t="s">
        <v>304</v>
      </c>
      <c r="C195" s="40" t="s">
        <v>684</v>
      </c>
      <c r="D195" s="19" t="s">
        <v>39</v>
      </c>
      <c r="E195" s="20">
        <v>0</v>
      </c>
      <c r="F195" s="20">
        <v>206708.2</v>
      </c>
      <c r="G195" s="20">
        <v>0</v>
      </c>
    </row>
    <row r="196" spans="1:7" ht="78.75" outlineLevel="2" x14ac:dyDescent="0.25">
      <c r="A196" s="39" t="s">
        <v>682</v>
      </c>
      <c r="B196" s="19" t="s">
        <v>304</v>
      </c>
      <c r="C196" s="40" t="s">
        <v>685</v>
      </c>
      <c r="D196" s="19"/>
      <c r="E196" s="3">
        <f t="shared" ref="E196:G196" si="66">E197</f>
        <v>0</v>
      </c>
      <c r="F196" s="3">
        <f t="shared" si="66"/>
        <v>39983.800000000003</v>
      </c>
      <c r="G196" s="3">
        <f t="shared" si="66"/>
        <v>0</v>
      </c>
    </row>
    <row r="197" spans="1:7" ht="31.5" outlineLevel="2" x14ac:dyDescent="0.25">
      <c r="A197" s="18" t="s">
        <v>76</v>
      </c>
      <c r="B197" s="19" t="s">
        <v>304</v>
      </c>
      <c r="C197" s="40" t="s">
        <v>685</v>
      </c>
      <c r="D197" s="19" t="s">
        <v>39</v>
      </c>
      <c r="E197" s="20">
        <v>0</v>
      </c>
      <c r="F197" s="20">
        <f>38761.3+1222.5</f>
        <v>39983.800000000003</v>
      </c>
      <c r="G197" s="20">
        <v>0</v>
      </c>
    </row>
    <row r="198" spans="1:7" ht="78.75" outlineLevel="2" x14ac:dyDescent="0.25">
      <c r="A198" s="39" t="s">
        <v>683</v>
      </c>
      <c r="B198" s="19" t="s">
        <v>304</v>
      </c>
      <c r="C198" s="40" t="s">
        <v>686</v>
      </c>
      <c r="D198" s="19"/>
      <c r="E198" s="20">
        <f t="shared" ref="E198:G198" si="67">E199</f>
        <v>0</v>
      </c>
      <c r="F198" s="20">
        <f t="shared" si="67"/>
        <v>65640.7</v>
      </c>
      <c r="G198" s="20">
        <f t="shared" si="67"/>
        <v>0</v>
      </c>
    </row>
    <row r="199" spans="1:7" ht="31.5" outlineLevel="2" x14ac:dyDescent="0.25">
      <c r="A199" s="18" t="s">
        <v>76</v>
      </c>
      <c r="B199" s="19" t="s">
        <v>304</v>
      </c>
      <c r="C199" s="40" t="s">
        <v>686</v>
      </c>
      <c r="D199" s="19" t="s">
        <v>39</v>
      </c>
      <c r="E199" s="3">
        <v>0</v>
      </c>
      <c r="F199" s="3">
        <f>63491.4+2149.3</f>
        <v>65640.7</v>
      </c>
      <c r="G199" s="3">
        <v>0</v>
      </c>
    </row>
    <row r="200" spans="1:7" ht="78.75" outlineLevel="2" x14ac:dyDescent="0.25">
      <c r="A200" s="39" t="s">
        <v>687</v>
      </c>
      <c r="B200" s="19" t="s">
        <v>304</v>
      </c>
      <c r="C200" s="40" t="s">
        <v>689</v>
      </c>
      <c r="D200" s="19"/>
      <c r="E200" s="20">
        <f t="shared" ref="E200:G200" si="68">E201</f>
        <v>0</v>
      </c>
      <c r="F200" s="20">
        <f t="shared" si="68"/>
        <v>53185</v>
      </c>
      <c r="G200" s="20">
        <f t="shared" si="68"/>
        <v>0</v>
      </c>
    </row>
    <row r="201" spans="1:7" ht="31.5" outlineLevel="2" x14ac:dyDescent="0.25">
      <c r="A201" s="18" t="s">
        <v>76</v>
      </c>
      <c r="B201" s="19" t="s">
        <v>304</v>
      </c>
      <c r="C201" s="40" t="s">
        <v>689</v>
      </c>
      <c r="D201" s="19" t="s">
        <v>39</v>
      </c>
      <c r="E201" s="20">
        <v>0</v>
      </c>
      <c r="F201" s="20">
        <f>51556.9+1628.1</f>
        <v>53185</v>
      </c>
      <c r="G201" s="20">
        <v>0</v>
      </c>
    </row>
    <row r="202" spans="1:7" ht="78.75" outlineLevel="2" x14ac:dyDescent="0.25">
      <c r="A202" s="39" t="s">
        <v>688</v>
      </c>
      <c r="B202" s="19" t="s">
        <v>304</v>
      </c>
      <c r="C202" s="40" t="s">
        <v>690</v>
      </c>
      <c r="D202" s="19"/>
      <c r="E202" s="3">
        <f t="shared" ref="E202:G202" si="69">E203</f>
        <v>0</v>
      </c>
      <c r="F202" s="3">
        <f t="shared" si="69"/>
        <v>41210.800000000003</v>
      </c>
      <c r="G202" s="3">
        <f t="shared" si="69"/>
        <v>0</v>
      </c>
    </row>
    <row r="203" spans="1:7" ht="31.5" outlineLevel="2" x14ac:dyDescent="0.25">
      <c r="A203" s="18" t="s">
        <v>76</v>
      </c>
      <c r="B203" s="19" t="s">
        <v>304</v>
      </c>
      <c r="C203" s="40" t="s">
        <v>690</v>
      </c>
      <c r="D203" s="19" t="s">
        <v>39</v>
      </c>
      <c r="E203" s="20">
        <v>0</v>
      </c>
      <c r="F203" s="20">
        <f>39886.5+1324.3</f>
        <v>41210.800000000003</v>
      </c>
      <c r="G203" s="20">
        <v>0</v>
      </c>
    </row>
    <row r="204" spans="1:7" ht="78.75" outlineLevel="2" x14ac:dyDescent="0.25">
      <c r="A204" s="39" t="s">
        <v>691</v>
      </c>
      <c r="B204" s="19" t="s">
        <v>304</v>
      </c>
      <c r="C204" s="40" t="s">
        <v>692</v>
      </c>
      <c r="D204" s="19"/>
      <c r="E204" s="20">
        <f>+E205</f>
        <v>5983.6</v>
      </c>
      <c r="F204" s="20">
        <f t="shared" ref="F204:G204" si="70">+F205</f>
        <v>54758.7</v>
      </c>
      <c r="G204" s="20">
        <f t="shared" si="70"/>
        <v>0</v>
      </c>
    </row>
    <row r="205" spans="1:7" ht="31.5" outlineLevel="2" x14ac:dyDescent="0.25">
      <c r="A205" s="18" t="s">
        <v>76</v>
      </c>
      <c r="B205" s="19" t="s">
        <v>304</v>
      </c>
      <c r="C205" s="40" t="s">
        <v>692</v>
      </c>
      <c r="D205" s="19" t="s">
        <v>39</v>
      </c>
      <c r="E205" s="20">
        <v>5983.6</v>
      </c>
      <c r="F205" s="20">
        <f>57925-3166.3</f>
        <v>54758.7</v>
      </c>
      <c r="G205" s="20">
        <v>0</v>
      </c>
    </row>
    <row r="206" spans="1:7" ht="94.5" outlineLevel="2" x14ac:dyDescent="0.25">
      <c r="A206" s="18" t="s">
        <v>758</v>
      </c>
      <c r="B206" s="19" t="s">
        <v>304</v>
      </c>
      <c r="C206" s="40" t="s">
        <v>759</v>
      </c>
      <c r="D206" s="19"/>
      <c r="E206" s="20">
        <f>+E207</f>
        <v>282318.7</v>
      </c>
      <c r="F206" s="20">
        <f>+F207</f>
        <v>228418.7</v>
      </c>
      <c r="G206" s="20">
        <f>+G207</f>
        <v>5</v>
      </c>
    </row>
    <row r="207" spans="1:7" ht="47.25" outlineLevel="2" x14ac:dyDescent="0.25">
      <c r="A207" s="23" t="s">
        <v>310</v>
      </c>
      <c r="B207" s="19" t="s">
        <v>304</v>
      </c>
      <c r="C207" s="40" t="s">
        <v>759</v>
      </c>
      <c r="D207" s="19" t="s">
        <v>464</v>
      </c>
      <c r="E207" s="20">
        <v>282318.7</v>
      </c>
      <c r="F207" s="20">
        <v>228418.7</v>
      </c>
      <c r="G207" s="20">
        <v>5</v>
      </c>
    </row>
    <row r="208" spans="1:7" ht="63" outlineLevel="2" x14ac:dyDescent="0.25">
      <c r="A208" s="18" t="s">
        <v>635</v>
      </c>
      <c r="B208" s="19" t="s">
        <v>304</v>
      </c>
      <c r="C208" s="19" t="s">
        <v>573</v>
      </c>
      <c r="D208" s="19"/>
      <c r="E208" s="3">
        <f>E209</f>
        <v>13850</v>
      </c>
      <c r="F208" s="3">
        <f t="shared" ref="F208:G208" si="71">F209</f>
        <v>13497.3</v>
      </c>
      <c r="G208" s="3">
        <f t="shared" si="71"/>
        <v>0</v>
      </c>
    </row>
    <row r="209" spans="1:8" ht="31.5" outlineLevel="2" x14ac:dyDescent="0.25">
      <c r="A209" s="18" t="s">
        <v>76</v>
      </c>
      <c r="B209" s="19" t="s">
        <v>304</v>
      </c>
      <c r="C209" s="19" t="s">
        <v>573</v>
      </c>
      <c r="D209" s="19" t="s">
        <v>39</v>
      </c>
      <c r="E209" s="20">
        <f>5436.8+8413.2</f>
        <v>13850</v>
      </c>
      <c r="F209" s="20">
        <f>5371.6+8125.7</f>
        <v>13497.3</v>
      </c>
      <c r="G209" s="20">
        <v>0</v>
      </c>
    </row>
    <row r="210" spans="1:8" ht="31.5" outlineLevel="2" x14ac:dyDescent="0.25">
      <c r="A210" s="18" t="s">
        <v>155</v>
      </c>
      <c r="B210" s="24" t="s">
        <v>304</v>
      </c>
      <c r="C210" s="24" t="s">
        <v>306</v>
      </c>
      <c r="D210" s="25"/>
      <c r="E210" s="20">
        <f>E211</f>
        <v>533045.29999999993</v>
      </c>
      <c r="F210" s="20">
        <f t="shared" ref="F210:G210" si="72">F211</f>
        <v>183672.30000000002</v>
      </c>
      <c r="G210" s="20">
        <f t="shared" si="72"/>
        <v>178252.30000000002</v>
      </c>
    </row>
    <row r="211" spans="1:8" ht="47.25" outlineLevel="2" x14ac:dyDescent="0.25">
      <c r="A211" s="18" t="s">
        <v>307</v>
      </c>
      <c r="B211" s="24" t="s">
        <v>304</v>
      </c>
      <c r="C211" s="24" t="s">
        <v>308</v>
      </c>
      <c r="D211" s="25"/>
      <c r="E211" s="3">
        <f>E212+E214+E234+E236+E239+E244+E224+E216+E229+E226+E218+E232+E222+E241</f>
        <v>533045.29999999993</v>
      </c>
      <c r="F211" s="3">
        <f>F212+F214+F234+F236+F239+F244+F224+F216+F229+F226+F218+F232+F222+F241+F220</f>
        <v>183672.30000000002</v>
      </c>
      <c r="G211" s="3">
        <f>G212+G214+G234+G236+G239+G244+G224+G216+G229+G226+G218+G232+G222+G241+G220</f>
        <v>178252.30000000002</v>
      </c>
    </row>
    <row r="212" spans="1:8" ht="63" outlineLevel="2" x14ac:dyDescent="0.25">
      <c r="A212" s="23" t="s">
        <v>502</v>
      </c>
      <c r="B212" s="24" t="s">
        <v>304</v>
      </c>
      <c r="C212" s="24" t="s">
        <v>309</v>
      </c>
      <c r="D212" s="25"/>
      <c r="E212" s="20">
        <f>E213</f>
        <v>228.3</v>
      </c>
      <c r="F212" s="20">
        <f t="shared" ref="F212:G212" si="73">F213</f>
        <v>0</v>
      </c>
      <c r="G212" s="20">
        <f t="shared" si="73"/>
        <v>0</v>
      </c>
    </row>
    <row r="213" spans="1:8" ht="47.25" outlineLevel="2" x14ac:dyDescent="0.25">
      <c r="A213" s="38" t="s">
        <v>310</v>
      </c>
      <c r="B213" s="24" t="s">
        <v>304</v>
      </c>
      <c r="C213" s="24" t="s">
        <v>309</v>
      </c>
      <c r="D213" s="25">
        <v>400</v>
      </c>
      <c r="E213" s="20">
        <f>111.7+116.6</f>
        <v>228.3</v>
      </c>
      <c r="F213" s="20">
        <v>0</v>
      </c>
      <c r="G213" s="20">
        <v>0</v>
      </c>
    </row>
    <row r="214" spans="1:8" ht="110.25" outlineLevel="2" x14ac:dyDescent="0.25">
      <c r="A214" s="38" t="s">
        <v>493</v>
      </c>
      <c r="B214" s="24" t="s">
        <v>304</v>
      </c>
      <c r="C214" s="24" t="s">
        <v>311</v>
      </c>
      <c r="D214" s="25"/>
      <c r="E214" s="3">
        <f>E215</f>
        <v>14514.6</v>
      </c>
      <c r="F214" s="3">
        <f t="shared" ref="F214:G214" si="74">F215</f>
        <v>0</v>
      </c>
      <c r="G214" s="3">
        <f t="shared" si="74"/>
        <v>0</v>
      </c>
    </row>
    <row r="215" spans="1:8" ht="47.25" outlineLevel="2" x14ac:dyDescent="0.25">
      <c r="A215" s="38" t="s">
        <v>310</v>
      </c>
      <c r="B215" s="24" t="s">
        <v>304</v>
      </c>
      <c r="C215" s="24" t="s">
        <v>311</v>
      </c>
      <c r="D215" s="25">
        <v>400</v>
      </c>
      <c r="E215" s="20">
        <f>14631.2-116.6</f>
        <v>14514.6</v>
      </c>
      <c r="F215" s="20">
        <v>0</v>
      </c>
      <c r="G215" s="20">
        <v>0</v>
      </c>
    </row>
    <row r="216" spans="1:8" ht="47.25" outlineLevel="2" x14ac:dyDescent="0.25">
      <c r="A216" s="23" t="s">
        <v>513</v>
      </c>
      <c r="B216" s="19" t="s">
        <v>304</v>
      </c>
      <c r="C216" s="19" t="s">
        <v>514</v>
      </c>
      <c r="D216" s="19"/>
      <c r="E216" s="20">
        <f>E217</f>
        <v>593.29999999999995</v>
      </c>
      <c r="F216" s="20">
        <f t="shared" ref="F216:G216" si="75">F217</f>
        <v>0</v>
      </c>
      <c r="G216" s="20">
        <f t="shared" si="75"/>
        <v>0</v>
      </c>
    </row>
    <row r="217" spans="1:8" ht="31.5" outlineLevel="2" x14ac:dyDescent="0.25">
      <c r="A217" s="21" t="s">
        <v>76</v>
      </c>
      <c r="B217" s="19" t="s">
        <v>304</v>
      </c>
      <c r="C217" s="19" t="s">
        <v>514</v>
      </c>
      <c r="D217" s="19" t="s">
        <v>39</v>
      </c>
      <c r="E217" s="3">
        <v>593.29999999999995</v>
      </c>
      <c r="F217" s="3">
        <v>0</v>
      </c>
      <c r="G217" s="3">
        <v>0</v>
      </c>
    </row>
    <row r="218" spans="1:8" ht="119.25" customHeight="1" outlineLevel="2" x14ac:dyDescent="0.25">
      <c r="A218" s="21" t="s">
        <v>653</v>
      </c>
      <c r="B218" s="19" t="s">
        <v>304</v>
      </c>
      <c r="C218" s="41" t="s">
        <v>654</v>
      </c>
      <c r="D218" s="21"/>
      <c r="E218" s="20">
        <f>+E219</f>
        <v>3587.6000000000004</v>
      </c>
      <c r="F218" s="20">
        <f t="shared" ref="F218:G218" si="76">+F219</f>
        <v>8371</v>
      </c>
      <c r="G218" s="20">
        <f t="shared" si="76"/>
        <v>0</v>
      </c>
    </row>
    <row r="219" spans="1:8" ht="42.75" customHeight="1" outlineLevel="2" x14ac:dyDescent="0.25">
      <c r="A219" s="21" t="s">
        <v>310</v>
      </c>
      <c r="B219" s="19" t="s">
        <v>304</v>
      </c>
      <c r="C219" s="41" t="s">
        <v>654</v>
      </c>
      <c r="D219" s="21">
        <v>400</v>
      </c>
      <c r="E219" s="20">
        <f>1565.4+2022.2</f>
        <v>3587.6000000000004</v>
      </c>
      <c r="F219" s="20">
        <v>8371</v>
      </c>
      <c r="G219" s="20">
        <v>0</v>
      </c>
    </row>
    <row r="220" spans="1:8" ht="42.75" customHeight="1" outlineLevel="2" x14ac:dyDescent="0.25">
      <c r="A220" s="21" t="s">
        <v>781</v>
      </c>
      <c r="B220" s="19" t="s">
        <v>304</v>
      </c>
      <c r="C220" s="19" t="s">
        <v>782</v>
      </c>
      <c r="D220" s="19"/>
      <c r="E220" s="20">
        <f>+E221</f>
        <v>0</v>
      </c>
      <c r="F220" s="20">
        <f>+F221</f>
        <v>3052.4</v>
      </c>
      <c r="G220" s="20">
        <f>+G221</f>
        <v>0</v>
      </c>
      <c r="H220" s="20"/>
    </row>
    <row r="221" spans="1:8" ht="42.75" customHeight="1" outlineLevel="2" x14ac:dyDescent="0.25">
      <c r="A221" s="21" t="s">
        <v>76</v>
      </c>
      <c r="B221" s="19" t="s">
        <v>304</v>
      </c>
      <c r="C221" s="19" t="s">
        <v>782</v>
      </c>
      <c r="D221" s="19" t="s">
        <v>39</v>
      </c>
      <c r="E221" s="20">
        <v>0</v>
      </c>
      <c r="F221" s="20">
        <v>3052.4</v>
      </c>
      <c r="G221" s="20">
        <v>0</v>
      </c>
    </row>
    <row r="222" spans="1:8" ht="62.25" customHeight="1" outlineLevel="2" x14ac:dyDescent="0.25">
      <c r="A222" s="21" t="s">
        <v>786</v>
      </c>
      <c r="B222" s="19" t="s">
        <v>304</v>
      </c>
      <c r="C222" s="19" t="s">
        <v>753</v>
      </c>
      <c r="D222" s="19"/>
      <c r="E222" s="20">
        <f>+E223</f>
        <v>979.1</v>
      </c>
      <c r="F222" s="20">
        <f>+F223</f>
        <v>0</v>
      </c>
      <c r="G222" s="20">
        <f>+G223</f>
        <v>0</v>
      </c>
    </row>
    <row r="223" spans="1:8" ht="42.75" customHeight="1" outlineLevel="2" x14ac:dyDescent="0.25">
      <c r="A223" s="21" t="s">
        <v>76</v>
      </c>
      <c r="B223" s="19" t="s">
        <v>304</v>
      </c>
      <c r="C223" s="19" t="s">
        <v>753</v>
      </c>
      <c r="D223" s="19" t="s">
        <v>39</v>
      </c>
      <c r="E223" s="20">
        <v>979.1</v>
      </c>
      <c r="F223" s="20">
        <v>0</v>
      </c>
      <c r="G223" s="20">
        <v>0</v>
      </c>
    </row>
    <row r="224" spans="1:8" ht="78.75" outlineLevel="2" x14ac:dyDescent="0.25">
      <c r="A224" s="42" t="s">
        <v>472</v>
      </c>
      <c r="B224" s="24" t="s">
        <v>304</v>
      </c>
      <c r="C224" s="24" t="s">
        <v>473</v>
      </c>
      <c r="D224" s="25"/>
      <c r="E224" s="3">
        <f>E225</f>
        <v>2320</v>
      </c>
      <c r="F224" s="3">
        <f>F225</f>
        <v>0</v>
      </c>
      <c r="G224" s="3">
        <f>G225</f>
        <v>0</v>
      </c>
    </row>
    <row r="225" spans="1:7" ht="31.5" outlineLevel="2" x14ac:dyDescent="0.25">
      <c r="A225" s="21" t="s">
        <v>76</v>
      </c>
      <c r="B225" s="24" t="s">
        <v>304</v>
      </c>
      <c r="C225" s="24" t="s">
        <v>473</v>
      </c>
      <c r="D225" s="25">
        <v>200</v>
      </c>
      <c r="E225" s="20">
        <f>1000+1320</f>
        <v>2320</v>
      </c>
      <c r="F225" s="20">
        <v>0</v>
      </c>
      <c r="G225" s="20">
        <v>0</v>
      </c>
    </row>
    <row r="226" spans="1:7" ht="63" outlineLevel="2" x14ac:dyDescent="0.25">
      <c r="A226" s="42" t="s">
        <v>526</v>
      </c>
      <c r="B226" s="19" t="s">
        <v>304</v>
      </c>
      <c r="C226" s="19" t="s">
        <v>527</v>
      </c>
      <c r="D226" s="19"/>
      <c r="E226" s="20">
        <f>SUM(E227:E228)</f>
        <v>827</v>
      </c>
      <c r="F226" s="20">
        <f t="shared" ref="F226:G226" si="77">SUM(F227:F228)</f>
        <v>0</v>
      </c>
      <c r="G226" s="20">
        <f t="shared" si="77"/>
        <v>0</v>
      </c>
    </row>
    <row r="227" spans="1:7" ht="47.25" outlineLevel="2" x14ac:dyDescent="0.25">
      <c r="A227" s="9" t="s">
        <v>310</v>
      </c>
      <c r="B227" s="19" t="s">
        <v>304</v>
      </c>
      <c r="C227" s="19" t="s">
        <v>527</v>
      </c>
      <c r="D227" s="19" t="s">
        <v>464</v>
      </c>
      <c r="E227" s="3">
        <v>825</v>
      </c>
      <c r="F227" s="3">
        <v>0</v>
      </c>
      <c r="G227" s="3">
        <v>0</v>
      </c>
    </row>
    <row r="228" spans="1:7" outlineLevel="2" x14ac:dyDescent="0.25">
      <c r="A228" s="30" t="s">
        <v>33</v>
      </c>
      <c r="B228" s="19" t="s">
        <v>304</v>
      </c>
      <c r="C228" s="19" t="s">
        <v>527</v>
      </c>
      <c r="D228" s="19" t="s">
        <v>528</v>
      </c>
      <c r="E228" s="20">
        <v>2</v>
      </c>
      <c r="F228" s="20">
        <v>0</v>
      </c>
      <c r="G228" s="20">
        <v>0</v>
      </c>
    </row>
    <row r="229" spans="1:7" ht="47.25" outlineLevel="2" x14ac:dyDescent="0.25">
      <c r="A229" s="21" t="s">
        <v>523</v>
      </c>
      <c r="B229" s="19" t="s">
        <v>304</v>
      </c>
      <c r="C229" s="19" t="s">
        <v>524</v>
      </c>
      <c r="D229" s="19"/>
      <c r="E229" s="20">
        <f>SUM(E230:E231)</f>
        <v>137314.29999999999</v>
      </c>
      <c r="F229" s="20">
        <f>SUM(F230:F231)</f>
        <v>0</v>
      </c>
      <c r="G229" s="20">
        <f t="shared" ref="G229" si="78">G230</f>
        <v>0</v>
      </c>
    </row>
    <row r="230" spans="1:7" ht="31.5" outlineLevel="2" x14ac:dyDescent="0.25">
      <c r="A230" s="21" t="s">
        <v>76</v>
      </c>
      <c r="B230" s="19" t="s">
        <v>304</v>
      </c>
      <c r="C230" s="19" t="s">
        <v>524</v>
      </c>
      <c r="D230" s="19" t="s">
        <v>39</v>
      </c>
      <c r="E230" s="3">
        <v>37414.300000000003</v>
      </c>
      <c r="F230" s="3">
        <v>0</v>
      </c>
      <c r="G230" s="3">
        <v>0</v>
      </c>
    </row>
    <row r="231" spans="1:7" ht="47.25" outlineLevel="2" x14ac:dyDescent="0.25">
      <c r="A231" s="21" t="s">
        <v>94</v>
      </c>
      <c r="B231" s="19" t="s">
        <v>304</v>
      </c>
      <c r="C231" s="19" t="s">
        <v>524</v>
      </c>
      <c r="D231" s="19" t="s">
        <v>95</v>
      </c>
      <c r="E231" s="20">
        <f>50000+49900</f>
        <v>99900</v>
      </c>
      <c r="F231" s="20">
        <v>0</v>
      </c>
      <c r="G231" s="20">
        <v>0</v>
      </c>
    </row>
    <row r="232" spans="1:7" ht="63" outlineLevel="2" x14ac:dyDescent="0.25">
      <c r="A232" s="23" t="s">
        <v>751</v>
      </c>
      <c r="B232" s="19" t="s">
        <v>304</v>
      </c>
      <c r="C232" s="19" t="s">
        <v>752</v>
      </c>
      <c r="D232" s="19"/>
      <c r="E232" s="20">
        <f>+E233</f>
        <v>65840.5</v>
      </c>
      <c r="F232" s="20">
        <f>+F233</f>
        <v>5904.3</v>
      </c>
      <c r="G232" s="20">
        <f>+G233</f>
        <v>0</v>
      </c>
    </row>
    <row r="233" spans="1:7" ht="31.5" outlineLevel="2" x14ac:dyDescent="0.25">
      <c r="A233" s="21" t="s">
        <v>76</v>
      </c>
      <c r="B233" s="19" t="s">
        <v>304</v>
      </c>
      <c r="C233" s="19" t="s">
        <v>752</v>
      </c>
      <c r="D233" s="19" t="s">
        <v>39</v>
      </c>
      <c r="E233" s="20">
        <f>3961.3+3950.4-3961.3+61890.1</f>
        <v>65840.5</v>
      </c>
      <c r="F233" s="20">
        <f>354.3+5550</f>
        <v>5904.3</v>
      </c>
      <c r="G233" s="20">
        <v>0</v>
      </c>
    </row>
    <row r="234" spans="1:7" ht="63" outlineLevel="2" x14ac:dyDescent="0.25">
      <c r="A234" s="38" t="s">
        <v>312</v>
      </c>
      <c r="B234" s="24" t="s">
        <v>304</v>
      </c>
      <c r="C234" s="24" t="s">
        <v>313</v>
      </c>
      <c r="D234" s="25"/>
      <c r="E234" s="20">
        <f>E235</f>
        <v>48966.199999999983</v>
      </c>
      <c r="F234" s="20">
        <f t="shared" ref="F234:G234" si="79">F235</f>
        <v>110090.00000000001</v>
      </c>
      <c r="G234" s="20">
        <f t="shared" si="79"/>
        <v>69090.7</v>
      </c>
    </row>
    <row r="235" spans="1:7" ht="47.25" outlineLevel="2" x14ac:dyDescent="0.25">
      <c r="A235" s="38" t="s">
        <v>310</v>
      </c>
      <c r="B235" s="24" t="s">
        <v>304</v>
      </c>
      <c r="C235" s="24" t="s">
        <v>313</v>
      </c>
      <c r="D235" s="25">
        <v>400</v>
      </c>
      <c r="E235" s="3">
        <f>121441.9-5397.1-84553.8+1048.5+16426.7</f>
        <v>48966.199999999983</v>
      </c>
      <c r="F235" s="3">
        <f>4471.3+70050.8+2134.1+33433.8</f>
        <v>110090.00000000001</v>
      </c>
      <c r="G235" s="3">
        <f>4145.4+64945.3</f>
        <v>69090.7</v>
      </c>
    </row>
    <row r="236" spans="1:7" ht="94.5" outlineLevel="2" x14ac:dyDescent="0.25">
      <c r="A236" s="38" t="s">
        <v>314</v>
      </c>
      <c r="B236" s="24" t="s">
        <v>304</v>
      </c>
      <c r="C236" s="24" t="s">
        <v>315</v>
      </c>
      <c r="D236" s="25"/>
      <c r="E236" s="20">
        <f>SUM(E237:E238)</f>
        <v>134522.00000000003</v>
      </c>
      <c r="F236" s="20">
        <f t="shared" ref="F236:G236" si="80">SUM(F237:F238)</f>
        <v>52769.400000000009</v>
      </c>
      <c r="G236" s="20">
        <f t="shared" si="80"/>
        <v>105676.40000000001</v>
      </c>
    </row>
    <row r="237" spans="1:7" ht="31.5" outlineLevel="2" x14ac:dyDescent="0.25">
      <c r="A237" s="21" t="s">
        <v>76</v>
      </c>
      <c r="B237" s="24" t="s">
        <v>304</v>
      </c>
      <c r="C237" s="24" t="s">
        <v>315</v>
      </c>
      <c r="D237" s="25">
        <v>200</v>
      </c>
      <c r="E237" s="20">
        <f>71493.1+341.8+5354.5+13526.2-29.9-467.9</f>
        <v>90217.800000000017</v>
      </c>
      <c r="F237" s="20">
        <f>162859.4-4471.3-70050.8-3837.2-60115</f>
        <v>24385.100000000006</v>
      </c>
      <c r="G237" s="20">
        <f>162859.4+714.5+11193.2-4145.4-64945.3</f>
        <v>105676.40000000001</v>
      </c>
    </row>
    <row r="238" spans="1:7" ht="47.25" outlineLevel="2" x14ac:dyDescent="0.25">
      <c r="A238" s="23" t="s">
        <v>310</v>
      </c>
      <c r="B238" s="19" t="s">
        <v>304</v>
      </c>
      <c r="C238" s="19" t="s">
        <v>315</v>
      </c>
      <c r="D238" s="19" t="s">
        <v>464</v>
      </c>
      <c r="E238" s="3">
        <f>300+2358.3+41645.9</f>
        <v>44304.200000000004</v>
      </c>
      <c r="F238" s="3">
        <f>1703.1+26681.2</f>
        <v>28384.3</v>
      </c>
      <c r="G238" s="3">
        <v>0</v>
      </c>
    </row>
    <row r="239" spans="1:7" ht="126" outlineLevel="2" x14ac:dyDescent="0.25">
      <c r="A239" s="38" t="s">
        <v>316</v>
      </c>
      <c r="B239" s="24" t="s">
        <v>304</v>
      </c>
      <c r="C239" s="24" t="s">
        <v>317</v>
      </c>
      <c r="D239" s="25"/>
      <c r="E239" s="20">
        <f>E240</f>
        <v>52451.500000000007</v>
      </c>
      <c r="F239" s="20">
        <f t="shared" ref="F239:G239" si="81">F240</f>
        <v>0</v>
      </c>
      <c r="G239" s="20">
        <f t="shared" si="81"/>
        <v>0</v>
      </c>
    </row>
    <row r="240" spans="1:7" ht="31.5" outlineLevel="2" x14ac:dyDescent="0.25">
      <c r="A240" s="21" t="s">
        <v>76</v>
      </c>
      <c r="B240" s="24" t="s">
        <v>304</v>
      </c>
      <c r="C240" s="24" t="s">
        <v>317</v>
      </c>
      <c r="D240" s="25">
        <v>200</v>
      </c>
      <c r="E240" s="20">
        <f>2188.3+2697+42253.4+288.9+29.9+4994</f>
        <v>52451.500000000007</v>
      </c>
      <c r="F240" s="20">
        <v>0</v>
      </c>
      <c r="G240" s="20">
        <v>0</v>
      </c>
    </row>
    <row r="241" spans="1:7" ht="78.75" outlineLevel="2" x14ac:dyDescent="0.25">
      <c r="A241" s="21" t="s">
        <v>754</v>
      </c>
      <c r="B241" s="24" t="s">
        <v>304</v>
      </c>
      <c r="C241" s="24" t="s">
        <v>755</v>
      </c>
      <c r="D241" s="43"/>
      <c r="E241" s="20">
        <f>+E242+E243</f>
        <v>66021.600000000006</v>
      </c>
      <c r="F241" s="20">
        <f>+F242+F243</f>
        <v>0</v>
      </c>
      <c r="G241" s="20">
        <f>+G242+G243</f>
        <v>0</v>
      </c>
    </row>
    <row r="242" spans="1:7" ht="31.5" outlineLevel="2" x14ac:dyDescent="0.25">
      <c r="A242" s="18" t="s">
        <v>76</v>
      </c>
      <c r="B242" s="24" t="s">
        <v>304</v>
      </c>
      <c r="C242" s="24" t="s">
        <v>755</v>
      </c>
      <c r="D242" s="24" t="s">
        <v>39</v>
      </c>
      <c r="E242" s="3">
        <f>1475+23108.9</f>
        <v>24583.9</v>
      </c>
      <c r="F242" s="20">
        <v>0</v>
      </c>
      <c r="G242" s="20">
        <v>0</v>
      </c>
    </row>
    <row r="243" spans="1:7" ht="47.25" outlineLevel="2" x14ac:dyDescent="0.25">
      <c r="A243" s="21" t="s">
        <v>94</v>
      </c>
      <c r="B243" s="24" t="s">
        <v>304</v>
      </c>
      <c r="C243" s="24" t="s">
        <v>755</v>
      </c>
      <c r="D243" s="24" t="s">
        <v>95</v>
      </c>
      <c r="E243" s="3">
        <f>2486.3+38951.4</f>
        <v>41437.700000000004</v>
      </c>
      <c r="F243" s="20">
        <v>0</v>
      </c>
      <c r="G243" s="20">
        <v>0</v>
      </c>
    </row>
    <row r="244" spans="1:7" ht="78.75" outlineLevel="2" x14ac:dyDescent="0.25">
      <c r="A244" s="38" t="s">
        <v>318</v>
      </c>
      <c r="B244" s="24" t="s">
        <v>304</v>
      </c>
      <c r="C244" s="24" t="s">
        <v>319</v>
      </c>
      <c r="D244" s="25"/>
      <c r="E244" s="3">
        <f>E245</f>
        <v>4879.3</v>
      </c>
      <c r="F244" s="3">
        <f t="shared" ref="F244:G244" si="82">F245</f>
        <v>3485.2</v>
      </c>
      <c r="G244" s="3">
        <f t="shared" si="82"/>
        <v>3485.2</v>
      </c>
    </row>
    <row r="245" spans="1:7" ht="31.5" outlineLevel="2" x14ac:dyDescent="0.25">
      <c r="A245" s="18" t="s">
        <v>76</v>
      </c>
      <c r="B245" s="24" t="s">
        <v>304</v>
      </c>
      <c r="C245" s="24" t="s">
        <v>319</v>
      </c>
      <c r="D245" s="25">
        <v>200</v>
      </c>
      <c r="E245" s="20">
        <f>1980.9+2898.4</f>
        <v>4879.3</v>
      </c>
      <c r="F245" s="20">
        <v>3485.2</v>
      </c>
      <c r="G245" s="20">
        <v>3485.2</v>
      </c>
    </row>
    <row r="246" spans="1:7" outlineLevel="2" x14ac:dyDescent="0.25">
      <c r="A246" s="33" t="s">
        <v>144</v>
      </c>
      <c r="B246" s="31" t="s">
        <v>304</v>
      </c>
      <c r="C246" s="31" t="s">
        <v>295</v>
      </c>
      <c r="D246" s="25"/>
      <c r="E246" s="20">
        <f>E247</f>
        <v>330167.5</v>
      </c>
      <c r="F246" s="20">
        <f t="shared" ref="F246:G246" si="83">F247</f>
        <v>330167.5</v>
      </c>
      <c r="G246" s="20">
        <f t="shared" si="83"/>
        <v>276994.5</v>
      </c>
    </row>
    <row r="247" spans="1:7" ht="47.25" outlineLevel="2" x14ac:dyDescent="0.25">
      <c r="A247" s="42" t="s">
        <v>474</v>
      </c>
      <c r="B247" s="24" t="s">
        <v>304</v>
      </c>
      <c r="C247" s="24" t="s">
        <v>475</v>
      </c>
      <c r="D247" s="25"/>
      <c r="E247" s="3">
        <f>E248+E250</f>
        <v>330167.5</v>
      </c>
      <c r="F247" s="3">
        <f t="shared" ref="F247:G247" si="84">F248+F250</f>
        <v>330167.5</v>
      </c>
      <c r="G247" s="3">
        <f t="shared" si="84"/>
        <v>276994.5</v>
      </c>
    </row>
    <row r="248" spans="1:7" outlineLevel="2" x14ac:dyDescent="0.25">
      <c r="A248" s="30" t="s">
        <v>476</v>
      </c>
      <c r="B248" s="24" t="s">
        <v>304</v>
      </c>
      <c r="C248" s="24" t="s">
        <v>508</v>
      </c>
      <c r="D248" s="25"/>
      <c r="E248" s="20">
        <f>E249</f>
        <v>273934.3</v>
      </c>
      <c r="F248" s="20">
        <f t="shared" ref="F248:G248" si="85">F249</f>
        <v>273934.3</v>
      </c>
      <c r="G248" s="20">
        <f t="shared" si="85"/>
        <v>220761.3</v>
      </c>
    </row>
    <row r="249" spans="1:7" ht="47.25" outlineLevel="2" x14ac:dyDescent="0.25">
      <c r="A249" s="42" t="s">
        <v>94</v>
      </c>
      <c r="B249" s="24" t="s">
        <v>304</v>
      </c>
      <c r="C249" s="24" t="s">
        <v>508</v>
      </c>
      <c r="D249" s="25">
        <v>600</v>
      </c>
      <c r="E249" s="20">
        <v>273934.3</v>
      </c>
      <c r="F249" s="20">
        <v>273934.3</v>
      </c>
      <c r="G249" s="20">
        <f>273934.3-47683.6-5489.4</f>
        <v>220761.3</v>
      </c>
    </row>
    <row r="250" spans="1:7" ht="31.5" outlineLevel="2" x14ac:dyDescent="0.25">
      <c r="A250" s="1" t="s">
        <v>477</v>
      </c>
      <c r="B250" s="24" t="s">
        <v>304</v>
      </c>
      <c r="C250" s="24" t="s">
        <v>509</v>
      </c>
      <c r="D250" s="25"/>
      <c r="E250" s="3">
        <f>E251</f>
        <v>56233.2</v>
      </c>
      <c r="F250" s="3">
        <f t="shared" ref="F250:G250" si="86">F251</f>
        <v>56233.2</v>
      </c>
      <c r="G250" s="3">
        <f t="shared" si="86"/>
        <v>56233.2</v>
      </c>
    </row>
    <row r="251" spans="1:7" ht="47.25" outlineLevel="2" x14ac:dyDescent="0.25">
      <c r="A251" s="42" t="s">
        <v>94</v>
      </c>
      <c r="B251" s="24" t="s">
        <v>304</v>
      </c>
      <c r="C251" s="24" t="s">
        <v>509</v>
      </c>
      <c r="D251" s="25">
        <v>600</v>
      </c>
      <c r="E251" s="20">
        <v>56233.2</v>
      </c>
      <c r="F251" s="20">
        <v>56233.2</v>
      </c>
      <c r="G251" s="20">
        <v>56233.2</v>
      </c>
    </row>
    <row r="252" spans="1:7" ht="47.25" outlineLevel="2" x14ac:dyDescent="0.25">
      <c r="A252" s="30" t="s">
        <v>370</v>
      </c>
      <c r="B252" s="24" t="s">
        <v>304</v>
      </c>
      <c r="C252" s="24" t="s">
        <v>371</v>
      </c>
      <c r="D252" s="43"/>
      <c r="E252" s="20">
        <f>+E253</f>
        <v>332.6</v>
      </c>
      <c r="F252" s="20">
        <f t="shared" ref="F252:G255" si="87">+F253</f>
        <v>0</v>
      </c>
      <c r="G252" s="20">
        <f t="shared" si="87"/>
        <v>0</v>
      </c>
    </row>
    <row r="253" spans="1:7" ht="31.5" outlineLevel="2" x14ac:dyDescent="0.25">
      <c r="A253" s="30" t="s">
        <v>155</v>
      </c>
      <c r="B253" s="24" t="s">
        <v>304</v>
      </c>
      <c r="C253" s="24" t="s">
        <v>372</v>
      </c>
      <c r="D253" s="43"/>
      <c r="E253" s="20">
        <f>+E254</f>
        <v>332.6</v>
      </c>
      <c r="F253" s="20">
        <f t="shared" si="87"/>
        <v>0</v>
      </c>
      <c r="G253" s="20">
        <f t="shared" si="87"/>
        <v>0</v>
      </c>
    </row>
    <row r="254" spans="1:7" ht="63" outlineLevel="2" x14ac:dyDescent="0.25">
      <c r="A254" s="30" t="s">
        <v>373</v>
      </c>
      <c r="B254" s="24" t="s">
        <v>304</v>
      </c>
      <c r="C254" s="24" t="s">
        <v>374</v>
      </c>
      <c r="D254" s="43"/>
      <c r="E254" s="20">
        <f>+E255</f>
        <v>332.6</v>
      </c>
      <c r="F254" s="20">
        <f t="shared" si="87"/>
        <v>0</v>
      </c>
      <c r="G254" s="20">
        <f t="shared" si="87"/>
        <v>0</v>
      </c>
    </row>
    <row r="255" spans="1:7" ht="63" outlineLevel="2" x14ac:dyDescent="0.25">
      <c r="A255" s="34" t="s">
        <v>756</v>
      </c>
      <c r="B255" s="24" t="s">
        <v>304</v>
      </c>
      <c r="C255" s="24" t="s">
        <v>757</v>
      </c>
      <c r="D255" s="43"/>
      <c r="E255" s="20">
        <f>+E256</f>
        <v>332.6</v>
      </c>
      <c r="F255" s="20">
        <f t="shared" si="87"/>
        <v>0</v>
      </c>
      <c r="G255" s="20">
        <f t="shared" si="87"/>
        <v>0</v>
      </c>
    </row>
    <row r="256" spans="1:7" ht="31.5" outlineLevel="2" x14ac:dyDescent="0.25">
      <c r="A256" s="30" t="s">
        <v>76</v>
      </c>
      <c r="B256" s="24" t="s">
        <v>304</v>
      </c>
      <c r="C256" s="24" t="s">
        <v>757</v>
      </c>
      <c r="D256" s="24" t="s">
        <v>39</v>
      </c>
      <c r="E256" s="20">
        <v>332.6</v>
      </c>
      <c r="F256" s="20">
        <v>0</v>
      </c>
      <c r="G256" s="20">
        <v>0</v>
      </c>
    </row>
    <row r="257" spans="1:7" ht="31.5" outlineLevel="1" x14ac:dyDescent="0.25">
      <c r="A257" s="34" t="s">
        <v>320</v>
      </c>
      <c r="B257" s="24" t="s">
        <v>321</v>
      </c>
      <c r="C257" s="24"/>
      <c r="D257" s="25"/>
      <c r="E257" s="20">
        <f>E258+E269</f>
        <v>51625.8</v>
      </c>
      <c r="F257" s="20">
        <f>F258+F269</f>
        <v>12161.3</v>
      </c>
      <c r="G257" s="20">
        <f>G258+G269</f>
        <v>12183.5</v>
      </c>
    </row>
    <row r="258" spans="1:7" ht="47.25" outlineLevel="2" x14ac:dyDescent="0.25">
      <c r="A258" s="34" t="s">
        <v>322</v>
      </c>
      <c r="B258" s="24" t="s">
        <v>321</v>
      </c>
      <c r="C258" s="24" t="s">
        <v>323</v>
      </c>
      <c r="D258" s="25"/>
      <c r="E258" s="3">
        <f t="shared" ref="E258:G259" si="88">E259</f>
        <v>21844.799999999999</v>
      </c>
      <c r="F258" s="3">
        <f t="shared" si="88"/>
        <v>2329.8000000000002</v>
      </c>
      <c r="G258" s="3">
        <f t="shared" si="88"/>
        <v>2352</v>
      </c>
    </row>
    <row r="259" spans="1:7" ht="31.5" outlineLevel="2" x14ac:dyDescent="0.25">
      <c r="A259" s="33" t="s">
        <v>155</v>
      </c>
      <c r="B259" s="31" t="s">
        <v>321</v>
      </c>
      <c r="C259" s="31" t="s">
        <v>324</v>
      </c>
      <c r="D259" s="25"/>
      <c r="E259" s="20">
        <f t="shared" si="88"/>
        <v>21844.799999999999</v>
      </c>
      <c r="F259" s="20">
        <f t="shared" si="88"/>
        <v>2329.8000000000002</v>
      </c>
      <c r="G259" s="20">
        <f t="shared" si="88"/>
        <v>2352</v>
      </c>
    </row>
    <row r="260" spans="1:7" ht="47.25" outlineLevel="2" x14ac:dyDescent="0.25">
      <c r="A260" s="38" t="s">
        <v>325</v>
      </c>
      <c r="B260" s="24" t="s">
        <v>321</v>
      </c>
      <c r="C260" s="24" t="s">
        <v>326</v>
      </c>
      <c r="D260" s="25"/>
      <c r="E260" s="20">
        <f>E263+E261+E267+E265</f>
        <v>21844.799999999999</v>
      </c>
      <c r="F260" s="20">
        <f>F263+F261+F267</f>
        <v>2329.8000000000002</v>
      </c>
      <c r="G260" s="20">
        <f>G263+G261+G267</f>
        <v>2352</v>
      </c>
    </row>
    <row r="261" spans="1:7" ht="47.25" outlineLevel="2" x14ac:dyDescent="0.25">
      <c r="A261" s="18" t="s">
        <v>327</v>
      </c>
      <c r="B261" s="24" t="s">
        <v>321</v>
      </c>
      <c r="C261" s="24" t="s">
        <v>328</v>
      </c>
      <c r="D261" s="25"/>
      <c r="E261" s="3">
        <f>E262</f>
        <v>48</v>
      </c>
      <c r="F261" s="3">
        <f>F262</f>
        <v>49.9</v>
      </c>
      <c r="G261" s="3">
        <f>G262</f>
        <v>51.9</v>
      </c>
    </row>
    <row r="262" spans="1:7" ht="31.5" outlineLevel="2" x14ac:dyDescent="0.25">
      <c r="A262" s="18" t="s">
        <v>76</v>
      </c>
      <c r="B262" s="24" t="s">
        <v>321</v>
      </c>
      <c r="C262" s="24" t="s">
        <v>328</v>
      </c>
      <c r="D262" s="25">
        <v>200</v>
      </c>
      <c r="E262" s="20">
        <v>48</v>
      </c>
      <c r="F262" s="20">
        <v>49.9</v>
      </c>
      <c r="G262" s="20">
        <v>51.9</v>
      </c>
    </row>
    <row r="263" spans="1:7" ht="63" outlineLevel="2" x14ac:dyDescent="0.25">
      <c r="A263" s="38" t="s">
        <v>329</v>
      </c>
      <c r="B263" s="24" t="s">
        <v>321</v>
      </c>
      <c r="C263" s="24" t="s">
        <v>330</v>
      </c>
      <c r="D263" s="25"/>
      <c r="E263" s="20">
        <f>E264</f>
        <v>475.5</v>
      </c>
      <c r="F263" s="20">
        <f>F264</f>
        <v>449.20000000000005</v>
      </c>
      <c r="G263" s="20">
        <f>G264</f>
        <v>468.79999999999995</v>
      </c>
    </row>
    <row r="264" spans="1:7" ht="31.5" outlineLevel="2" x14ac:dyDescent="0.25">
      <c r="A264" s="18" t="s">
        <v>76</v>
      </c>
      <c r="B264" s="24" t="s">
        <v>321</v>
      </c>
      <c r="C264" s="24" t="s">
        <v>330</v>
      </c>
      <c r="D264" s="25">
        <v>200</v>
      </c>
      <c r="E264" s="3">
        <v>475.5</v>
      </c>
      <c r="F264" s="3">
        <f>494.6-45.4</f>
        <v>449.20000000000005</v>
      </c>
      <c r="G264" s="3">
        <f>514.3-45.5</f>
        <v>468.79999999999995</v>
      </c>
    </row>
    <row r="265" spans="1:7" ht="110.25" outlineLevel="2" x14ac:dyDescent="0.25">
      <c r="A265" s="18" t="s">
        <v>693</v>
      </c>
      <c r="B265" s="19" t="s">
        <v>321</v>
      </c>
      <c r="C265" s="19" t="s">
        <v>694</v>
      </c>
      <c r="D265" s="19"/>
      <c r="E265" s="20">
        <f>+E266</f>
        <v>14000</v>
      </c>
      <c r="F265" s="20">
        <f t="shared" ref="F265:G265" si="89">+F266</f>
        <v>0</v>
      </c>
      <c r="G265" s="20">
        <f t="shared" si="89"/>
        <v>0</v>
      </c>
    </row>
    <row r="266" spans="1:7" outlineLevel="2" x14ac:dyDescent="0.25">
      <c r="A266" s="23" t="s">
        <v>33</v>
      </c>
      <c r="B266" s="19" t="s">
        <v>321</v>
      </c>
      <c r="C266" s="19" t="s">
        <v>694</v>
      </c>
      <c r="D266" s="19" t="s">
        <v>528</v>
      </c>
      <c r="E266" s="20">
        <v>14000</v>
      </c>
      <c r="F266" s="20">
        <v>0</v>
      </c>
      <c r="G266" s="20">
        <v>0</v>
      </c>
    </row>
    <row r="267" spans="1:7" ht="189" outlineLevel="2" x14ac:dyDescent="0.25">
      <c r="A267" s="33" t="s">
        <v>503</v>
      </c>
      <c r="B267" s="24" t="s">
        <v>321</v>
      </c>
      <c r="C267" s="24" t="s">
        <v>331</v>
      </c>
      <c r="D267" s="25"/>
      <c r="E267" s="3">
        <f>E268</f>
        <v>7321.2999999999993</v>
      </c>
      <c r="F267" s="3">
        <f>F268</f>
        <v>1830.7</v>
      </c>
      <c r="G267" s="3">
        <f>G268</f>
        <v>1831.3</v>
      </c>
    </row>
    <row r="268" spans="1:7" outlineLevel="2" x14ac:dyDescent="0.25">
      <c r="A268" s="44" t="s">
        <v>33</v>
      </c>
      <c r="B268" s="24" t="s">
        <v>321</v>
      </c>
      <c r="C268" s="24" t="s">
        <v>331</v>
      </c>
      <c r="D268" s="25">
        <v>800</v>
      </c>
      <c r="E268" s="20">
        <f>1074.3+374.8+5872.2</f>
        <v>7321.2999999999993</v>
      </c>
      <c r="F268" s="20">
        <f>1074.1+45.4+711.2</f>
        <v>1830.7</v>
      </c>
      <c r="G268" s="20">
        <f>1074.1+45.5+711.7</f>
        <v>1831.3</v>
      </c>
    </row>
    <row r="269" spans="1:7" ht="78.75" outlineLevel="2" x14ac:dyDescent="0.25">
      <c r="A269" s="33" t="s">
        <v>332</v>
      </c>
      <c r="B269" s="31" t="s">
        <v>321</v>
      </c>
      <c r="C269" s="31" t="s">
        <v>333</v>
      </c>
      <c r="D269" s="31"/>
      <c r="E269" s="20">
        <f>E270</f>
        <v>29781</v>
      </c>
      <c r="F269" s="20">
        <f t="shared" ref="F269:G269" si="90">F270</f>
        <v>9831.5</v>
      </c>
      <c r="G269" s="20">
        <f t="shared" si="90"/>
        <v>9831.5</v>
      </c>
    </row>
    <row r="270" spans="1:7" ht="31.5" outlineLevel="2" x14ac:dyDescent="0.25">
      <c r="A270" s="33" t="s">
        <v>155</v>
      </c>
      <c r="B270" s="31" t="s">
        <v>321</v>
      </c>
      <c r="C270" s="31" t="s">
        <v>334</v>
      </c>
      <c r="D270" s="31"/>
      <c r="E270" s="3">
        <f>E271+E278</f>
        <v>29781</v>
      </c>
      <c r="F270" s="3">
        <f>F271+F278</f>
        <v>9831.5</v>
      </c>
      <c r="G270" s="3">
        <f>G271+G278</f>
        <v>9831.5</v>
      </c>
    </row>
    <row r="271" spans="1:7" ht="47.25" outlineLevel="2" x14ac:dyDescent="0.25">
      <c r="A271" s="33" t="s">
        <v>335</v>
      </c>
      <c r="B271" s="31" t="s">
        <v>321</v>
      </c>
      <c r="C271" s="31" t="s">
        <v>336</v>
      </c>
      <c r="D271" s="31"/>
      <c r="E271" s="20">
        <f>E272+E274+E276</f>
        <v>2347.1999999999998</v>
      </c>
      <c r="F271" s="20">
        <f t="shared" ref="F271:G271" si="91">F272+F274+F276</f>
        <v>793.9</v>
      </c>
      <c r="G271" s="20">
        <f t="shared" si="91"/>
        <v>793.9</v>
      </c>
    </row>
    <row r="272" spans="1:7" outlineLevel="2" x14ac:dyDescent="0.25">
      <c r="A272" s="33" t="s">
        <v>337</v>
      </c>
      <c r="B272" s="31" t="s">
        <v>321</v>
      </c>
      <c r="C272" s="31" t="s">
        <v>338</v>
      </c>
      <c r="D272" s="31"/>
      <c r="E272" s="20">
        <f>E273</f>
        <v>1047.2</v>
      </c>
      <c r="F272" s="20">
        <f t="shared" ref="F272:G272" si="92">F273</f>
        <v>793.9</v>
      </c>
      <c r="G272" s="20">
        <f t="shared" si="92"/>
        <v>793.9</v>
      </c>
    </row>
    <row r="273" spans="1:7" ht="31.5" outlineLevel="2" x14ac:dyDescent="0.25">
      <c r="A273" s="33" t="s">
        <v>76</v>
      </c>
      <c r="B273" s="31" t="s">
        <v>321</v>
      </c>
      <c r="C273" s="31" t="s">
        <v>338</v>
      </c>
      <c r="D273" s="31">
        <v>200</v>
      </c>
      <c r="E273" s="3">
        <v>1047.2</v>
      </c>
      <c r="F273" s="3">
        <v>793.9</v>
      </c>
      <c r="G273" s="3">
        <v>793.9</v>
      </c>
    </row>
    <row r="274" spans="1:7" ht="47.25" outlineLevel="2" x14ac:dyDescent="0.25">
      <c r="A274" s="23" t="s">
        <v>778</v>
      </c>
      <c r="B274" s="19" t="s">
        <v>321</v>
      </c>
      <c r="C274" s="19" t="s">
        <v>779</v>
      </c>
      <c r="D274" s="19"/>
      <c r="E274" s="3">
        <f>E275</f>
        <v>448.9</v>
      </c>
      <c r="F274" s="3">
        <f t="shared" ref="F274:G274" si="93">F275</f>
        <v>0</v>
      </c>
      <c r="G274" s="3">
        <f t="shared" si="93"/>
        <v>0</v>
      </c>
    </row>
    <row r="275" spans="1:7" ht="31.5" outlineLevel="2" x14ac:dyDescent="0.25">
      <c r="A275" s="23" t="s">
        <v>76</v>
      </c>
      <c r="B275" s="19" t="s">
        <v>321</v>
      </c>
      <c r="C275" s="19" t="s">
        <v>779</v>
      </c>
      <c r="D275" s="19">
        <v>200</v>
      </c>
      <c r="E275" s="3">
        <v>448.9</v>
      </c>
      <c r="F275" s="3">
        <v>0</v>
      </c>
      <c r="G275" s="3">
        <v>0</v>
      </c>
    </row>
    <row r="276" spans="1:7" outlineLevel="2" x14ac:dyDescent="0.25">
      <c r="A276" s="23" t="s">
        <v>339</v>
      </c>
      <c r="B276" s="19" t="s">
        <v>321</v>
      </c>
      <c r="C276" s="19" t="s">
        <v>780</v>
      </c>
      <c r="D276" s="19"/>
      <c r="E276" s="20">
        <f>E277</f>
        <v>851.1</v>
      </c>
      <c r="F276" s="20">
        <f t="shared" ref="F276:G276" si="94">F277</f>
        <v>0</v>
      </c>
      <c r="G276" s="20">
        <f t="shared" si="94"/>
        <v>0</v>
      </c>
    </row>
    <row r="277" spans="1:7" ht="31.5" outlineLevel="2" x14ac:dyDescent="0.25">
      <c r="A277" s="23" t="s">
        <v>76</v>
      </c>
      <c r="B277" s="19" t="s">
        <v>321</v>
      </c>
      <c r="C277" s="19" t="s">
        <v>780</v>
      </c>
      <c r="D277" s="19">
        <v>200</v>
      </c>
      <c r="E277" s="20">
        <f>51.1+800</f>
        <v>851.1</v>
      </c>
      <c r="F277" s="20"/>
      <c r="G277" s="20"/>
    </row>
    <row r="278" spans="1:7" ht="47.25" outlineLevel="2" x14ac:dyDescent="0.25">
      <c r="A278" s="33" t="s">
        <v>340</v>
      </c>
      <c r="B278" s="31" t="s">
        <v>321</v>
      </c>
      <c r="C278" s="31" t="s">
        <v>341</v>
      </c>
      <c r="D278" s="31"/>
      <c r="E278" s="3">
        <f>E279+E281</f>
        <v>27433.8</v>
      </c>
      <c r="F278" s="3">
        <f>F279+F281</f>
        <v>9037.6</v>
      </c>
      <c r="G278" s="3">
        <f>G279+G281</f>
        <v>9037.6</v>
      </c>
    </row>
    <row r="279" spans="1:7" ht="78.75" outlineLevel="2" x14ac:dyDescent="0.25">
      <c r="A279" s="33" t="s">
        <v>342</v>
      </c>
      <c r="B279" s="31" t="s">
        <v>321</v>
      </c>
      <c r="C279" s="31" t="s">
        <v>343</v>
      </c>
      <c r="D279" s="31"/>
      <c r="E279" s="20">
        <f>E280</f>
        <v>3521.2</v>
      </c>
      <c r="F279" s="20">
        <f>F280</f>
        <v>1668</v>
      </c>
      <c r="G279" s="20">
        <f>G280</f>
        <v>1668</v>
      </c>
    </row>
    <row r="280" spans="1:7" ht="31.5" outlineLevel="2" x14ac:dyDescent="0.25">
      <c r="A280" s="33" t="s">
        <v>76</v>
      </c>
      <c r="B280" s="31" t="s">
        <v>321</v>
      </c>
      <c r="C280" s="31" t="s">
        <v>343</v>
      </c>
      <c r="D280" s="31">
        <v>200</v>
      </c>
      <c r="E280" s="20">
        <f>9500-5978.8</f>
        <v>3521.2</v>
      </c>
      <c r="F280" s="20">
        <v>1668</v>
      </c>
      <c r="G280" s="20">
        <v>1668</v>
      </c>
    </row>
    <row r="281" spans="1:7" ht="47.25" outlineLevel="2" x14ac:dyDescent="0.25">
      <c r="A281" s="33" t="s">
        <v>344</v>
      </c>
      <c r="B281" s="31" t="s">
        <v>321</v>
      </c>
      <c r="C281" s="31" t="s">
        <v>345</v>
      </c>
      <c r="D281" s="31"/>
      <c r="E281" s="3">
        <f>E282</f>
        <v>23912.6</v>
      </c>
      <c r="F281" s="3">
        <f>F282</f>
        <v>7369.6</v>
      </c>
      <c r="G281" s="3">
        <f>G282</f>
        <v>7369.6</v>
      </c>
    </row>
    <row r="282" spans="1:7" ht="31.5" outlineLevel="2" x14ac:dyDescent="0.25">
      <c r="A282" s="33" t="s">
        <v>76</v>
      </c>
      <c r="B282" s="31" t="s">
        <v>321</v>
      </c>
      <c r="C282" s="31" t="s">
        <v>345</v>
      </c>
      <c r="D282" s="31">
        <v>200</v>
      </c>
      <c r="E282" s="20">
        <f>19956-2022.2+5978.8</f>
        <v>23912.6</v>
      </c>
      <c r="F282" s="20">
        <v>7369.6</v>
      </c>
      <c r="G282" s="20">
        <v>7369.6</v>
      </c>
    </row>
    <row r="283" spans="1:7" x14ac:dyDescent="0.25">
      <c r="A283" s="35" t="s">
        <v>346</v>
      </c>
      <c r="B283" s="36" t="s">
        <v>51</v>
      </c>
      <c r="C283" s="36"/>
      <c r="D283" s="45"/>
      <c r="E283" s="17">
        <f>E284+E316+E411+E488</f>
        <v>3078492</v>
      </c>
      <c r="F283" s="17">
        <f>F284+F316+F411+F488</f>
        <v>3932221.2</v>
      </c>
      <c r="G283" s="17">
        <f>G284+G316+G411+G488</f>
        <v>3158763.9000000004</v>
      </c>
    </row>
    <row r="284" spans="1:7" outlineLevel="1" x14ac:dyDescent="0.25">
      <c r="A284" s="34" t="s">
        <v>52</v>
      </c>
      <c r="B284" s="24" t="s">
        <v>53</v>
      </c>
      <c r="C284" s="24"/>
      <c r="D284" s="25"/>
      <c r="E284" s="20">
        <f>E294+E285</f>
        <v>55313</v>
      </c>
      <c r="F284" s="20">
        <f t="shared" ref="F284:G284" si="95">F294+F285</f>
        <v>18884.099999999999</v>
      </c>
      <c r="G284" s="20">
        <f t="shared" si="95"/>
        <v>18884.099999999999</v>
      </c>
    </row>
    <row r="285" spans="1:7" ht="47.25" outlineLevel="2" x14ac:dyDescent="0.25">
      <c r="A285" s="30" t="s">
        <v>59</v>
      </c>
      <c r="B285" s="24" t="s">
        <v>53</v>
      </c>
      <c r="C285" s="24" t="s">
        <v>60</v>
      </c>
      <c r="D285" s="25"/>
      <c r="E285" s="20">
        <f>E290+E286</f>
        <v>13512.9</v>
      </c>
      <c r="F285" s="20">
        <f>F290</f>
        <v>1024.8</v>
      </c>
      <c r="G285" s="20">
        <f>G290</f>
        <v>1024.8</v>
      </c>
    </row>
    <row r="286" spans="1:7" outlineLevel="2" x14ac:dyDescent="0.25">
      <c r="A286" s="21" t="s">
        <v>228</v>
      </c>
      <c r="B286" s="19" t="s">
        <v>53</v>
      </c>
      <c r="C286" s="19" t="s">
        <v>703</v>
      </c>
      <c r="D286" s="19"/>
      <c r="E286" s="20">
        <f t="shared" ref="E286:G288" si="96">E287</f>
        <v>5350.4</v>
      </c>
      <c r="F286" s="20">
        <f t="shared" si="96"/>
        <v>0</v>
      </c>
      <c r="G286" s="20">
        <f t="shared" si="96"/>
        <v>0</v>
      </c>
    </row>
    <row r="287" spans="1:7" ht="31.5" outlineLevel="2" x14ac:dyDescent="0.25">
      <c r="A287" s="21" t="s">
        <v>701</v>
      </c>
      <c r="B287" s="19" t="s">
        <v>53</v>
      </c>
      <c r="C287" s="19" t="s">
        <v>704</v>
      </c>
      <c r="D287" s="19"/>
      <c r="E287" s="20">
        <f t="shared" si="96"/>
        <v>5350.4</v>
      </c>
      <c r="F287" s="20">
        <f t="shared" si="96"/>
        <v>0</v>
      </c>
      <c r="G287" s="20">
        <f t="shared" si="96"/>
        <v>0</v>
      </c>
    </row>
    <row r="288" spans="1:7" ht="47.25" outlineLevel="2" x14ac:dyDescent="0.25">
      <c r="A288" s="21" t="s">
        <v>702</v>
      </c>
      <c r="B288" s="19" t="s">
        <v>53</v>
      </c>
      <c r="C288" s="19" t="s">
        <v>705</v>
      </c>
      <c r="D288" s="19"/>
      <c r="E288" s="20">
        <f t="shared" si="96"/>
        <v>5350.4</v>
      </c>
      <c r="F288" s="20">
        <f t="shared" si="96"/>
        <v>0</v>
      </c>
      <c r="G288" s="20">
        <f t="shared" si="96"/>
        <v>0</v>
      </c>
    </row>
    <row r="289" spans="1:7" ht="47.25" outlineLevel="2" x14ac:dyDescent="0.25">
      <c r="A289" s="9" t="s">
        <v>310</v>
      </c>
      <c r="B289" s="19" t="s">
        <v>53</v>
      </c>
      <c r="C289" s="19" t="s">
        <v>705</v>
      </c>
      <c r="D289" s="19" t="s">
        <v>464</v>
      </c>
      <c r="E289" s="20">
        <f>482+4868.4</f>
        <v>5350.4</v>
      </c>
      <c r="F289" s="20">
        <v>0</v>
      </c>
      <c r="G289" s="20">
        <v>0</v>
      </c>
    </row>
    <row r="290" spans="1:7" outlineLevel="2" x14ac:dyDescent="0.25">
      <c r="A290" s="33" t="s">
        <v>144</v>
      </c>
      <c r="B290" s="31" t="s">
        <v>53</v>
      </c>
      <c r="C290" s="31" t="s">
        <v>135</v>
      </c>
      <c r="D290" s="25"/>
      <c r="E290" s="20">
        <f>E291</f>
        <v>8162.5</v>
      </c>
      <c r="F290" s="20">
        <f t="shared" ref="F290:G292" si="97">F291</f>
        <v>1024.8</v>
      </c>
      <c r="G290" s="20">
        <f t="shared" si="97"/>
        <v>1024.8</v>
      </c>
    </row>
    <row r="291" spans="1:7" ht="110.25" outlineLevel="2" x14ac:dyDescent="0.25">
      <c r="A291" s="30" t="s">
        <v>400</v>
      </c>
      <c r="B291" s="24" t="s">
        <v>53</v>
      </c>
      <c r="C291" s="24" t="s">
        <v>401</v>
      </c>
      <c r="D291" s="25"/>
      <c r="E291" s="20">
        <f>E292</f>
        <v>8162.5</v>
      </c>
      <c r="F291" s="20">
        <f t="shared" si="97"/>
        <v>1024.8</v>
      </c>
      <c r="G291" s="20">
        <f t="shared" si="97"/>
        <v>1024.8</v>
      </c>
    </row>
    <row r="292" spans="1:7" outlineLevel="2" x14ac:dyDescent="0.25">
      <c r="A292" s="30" t="s">
        <v>402</v>
      </c>
      <c r="B292" s="24" t="s">
        <v>53</v>
      </c>
      <c r="C292" s="24" t="s">
        <v>403</v>
      </c>
      <c r="D292" s="25"/>
      <c r="E292" s="20">
        <f>E293</f>
        <v>8162.5</v>
      </c>
      <c r="F292" s="20">
        <f t="shared" si="97"/>
        <v>1024.8</v>
      </c>
      <c r="G292" s="20">
        <f t="shared" si="97"/>
        <v>1024.8</v>
      </c>
    </row>
    <row r="293" spans="1:7" ht="31.5" outlineLevel="2" x14ac:dyDescent="0.25">
      <c r="A293" s="42" t="s">
        <v>76</v>
      </c>
      <c r="B293" s="24" t="s">
        <v>53</v>
      </c>
      <c r="C293" s="24" t="s">
        <v>403</v>
      </c>
      <c r="D293" s="25">
        <v>200</v>
      </c>
      <c r="E293" s="20">
        <f>1935.5+5730.6+496.4</f>
        <v>8162.5</v>
      </c>
      <c r="F293" s="20">
        <v>1024.8</v>
      </c>
      <c r="G293" s="20">
        <v>1024.8</v>
      </c>
    </row>
    <row r="294" spans="1:7" ht="78.75" outlineLevel="2" x14ac:dyDescent="0.25">
      <c r="A294" s="34" t="s">
        <v>347</v>
      </c>
      <c r="B294" s="24" t="s">
        <v>53</v>
      </c>
      <c r="C294" s="24" t="s">
        <v>54</v>
      </c>
      <c r="D294" s="25"/>
      <c r="E294" s="20">
        <f>E295+E309</f>
        <v>41800.1</v>
      </c>
      <c r="F294" s="20">
        <f>F295+F309</f>
        <v>17859.3</v>
      </c>
      <c r="G294" s="20">
        <f>G295+G309</f>
        <v>17859.3</v>
      </c>
    </row>
    <row r="295" spans="1:7" ht="31.5" outlineLevel="2" x14ac:dyDescent="0.25">
      <c r="A295" s="33" t="s">
        <v>155</v>
      </c>
      <c r="B295" s="31" t="s">
        <v>53</v>
      </c>
      <c r="C295" s="31" t="s">
        <v>348</v>
      </c>
      <c r="D295" s="25"/>
      <c r="E295" s="20">
        <f>E296</f>
        <v>23940.799999999999</v>
      </c>
      <c r="F295" s="20">
        <f>F296</f>
        <v>0</v>
      </c>
      <c r="G295" s="20">
        <f>G296</f>
        <v>0</v>
      </c>
    </row>
    <row r="296" spans="1:7" ht="31.5" outlineLevel="2" x14ac:dyDescent="0.25">
      <c r="A296" s="33" t="s">
        <v>349</v>
      </c>
      <c r="B296" s="24" t="s">
        <v>53</v>
      </c>
      <c r="C296" s="24" t="s">
        <v>350</v>
      </c>
      <c r="D296" s="25"/>
      <c r="E296" s="20">
        <f>E297+E303+E299+E301+E307+E305</f>
        <v>23940.799999999999</v>
      </c>
      <c r="F296" s="20">
        <f t="shared" ref="F296:G296" si="98">F297+F303+F299+F301+F307+F305</f>
        <v>0</v>
      </c>
      <c r="G296" s="20">
        <f t="shared" si="98"/>
        <v>0</v>
      </c>
    </row>
    <row r="297" spans="1:7" outlineLevel="2" x14ac:dyDescent="0.25">
      <c r="A297" s="21" t="s">
        <v>351</v>
      </c>
      <c r="B297" s="24" t="s">
        <v>53</v>
      </c>
      <c r="C297" s="24" t="s">
        <v>352</v>
      </c>
      <c r="D297" s="25"/>
      <c r="E297" s="20">
        <f>E298</f>
        <v>10493.6</v>
      </c>
      <c r="F297" s="20">
        <f t="shared" ref="F297:G297" si="99">F298</f>
        <v>0</v>
      </c>
      <c r="G297" s="20">
        <f t="shared" si="99"/>
        <v>0</v>
      </c>
    </row>
    <row r="298" spans="1:7" ht="31.5" outlineLevel="2" x14ac:dyDescent="0.25">
      <c r="A298" s="33" t="s">
        <v>76</v>
      </c>
      <c r="B298" s="24" t="s">
        <v>53</v>
      </c>
      <c r="C298" s="24" t="s">
        <v>352</v>
      </c>
      <c r="D298" s="2">
        <v>200</v>
      </c>
      <c r="E298" s="20">
        <f>11636.1+543.5-1107.8-578.2</f>
        <v>10493.6</v>
      </c>
      <c r="F298" s="20">
        <v>0</v>
      </c>
      <c r="G298" s="20">
        <v>0</v>
      </c>
    </row>
    <row r="299" spans="1:7" ht="31.5" outlineLevel="2" x14ac:dyDescent="0.25">
      <c r="A299" s="23" t="s">
        <v>695</v>
      </c>
      <c r="B299" s="19" t="s">
        <v>53</v>
      </c>
      <c r="C299" s="19" t="s">
        <v>696</v>
      </c>
      <c r="D299" s="19"/>
      <c r="E299" s="20">
        <f t="shared" ref="E299:G299" si="100">E300</f>
        <v>219.5</v>
      </c>
      <c r="F299" s="20">
        <f t="shared" si="100"/>
        <v>0</v>
      </c>
      <c r="G299" s="20">
        <f t="shared" si="100"/>
        <v>0</v>
      </c>
    </row>
    <row r="300" spans="1:7" ht="31.5" outlineLevel="2" x14ac:dyDescent="0.25">
      <c r="A300" s="23" t="s">
        <v>76</v>
      </c>
      <c r="B300" s="19" t="s">
        <v>53</v>
      </c>
      <c r="C300" s="19" t="s">
        <v>696</v>
      </c>
      <c r="D300" s="19">
        <v>200</v>
      </c>
      <c r="E300" s="20">
        <v>219.5</v>
      </c>
      <c r="F300" s="20">
        <v>0</v>
      </c>
      <c r="G300" s="20">
        <v>0</v>
      </c>
    </row>
    <row r="301" spans="1:7" ht="47.25" outlineLevel="2" x14ac:dyDescent="0.25">
      <c r="A301" s="23" t="s">
        <v>515</v>
      </c>
      <c r="B301" s="19" t="s">
        <v>53</v>
      </c>
      <c r="C301" s="19" t="s">
        <v>516</v>
      </c>
      <c r="D301" s="19"/>
      <c r="E301" s="20">
        <f>E302</f>
        <v>3818.3</v>
      </c>
      <c r="F301" s="20">
        <f t="shared" ref="F301:G301" si="101">F302</f>
        <v>0</v>
      </c>
      <c r="G301" s="20">
        <f t="shared" si="101"/>
        <v>0</v>
      </c>
    </row>
    <row r="302" spans="1:7" ht="31.5" outlineLevel="2" x14ac:dyDescent="0.25">
      <c r="A302" s="23" t="s">
        <v>76</v>
      </c>
      <c r="B302" s="19" t="s">
        <v>53</v>
      </c>
      <c r="C302" s="19" t="s">
        <v>516</v>
      </c>
      <c r="D302" s="19">
        <v>200</v>
      </c>
      <c r="E302" s="20">
        <f>2065+1175.1+578.2</f>
        <v>3818.3</v>
      </c>
      <c r="F302" s="20">
        <v>0</v>
      </c>
      <c r="G302" s="20">
        <v>0</v>
      </c>
    </row>
    <row r="303" spans="1:7" ht="63" outlineLevel="2" x14ac:dyDescent="0.25">
      <c r="A303" s="23" t="s">
        <v>697</v>
      </c>
      <c r="B303" s="19" t="s">
        <v>53</v>
      </c>
      <c r="C303" s="19" t="s">
        <v>698</v>
      </c>
      <c r="D303" s="19"/>
      <c r="E303" s="20">
        <f t="shared" ref="E303:G303" si="102">E304</f>
        <v>1107.8</v>
      </c>
      <c r="F303" s="20">
        <f t="shared" si="102"/>
        <v>0</v>
      </c>
      <c r="G303" s="20">
        <f t="shared" si="102"/>
        <v>0</v>
      </c>
    </row>
    <row r="304" spans="1:7" ht="47.25" outlineLevel="2" x14ac:dyDescent="0.25">
      <c r="A304" s="23" t="s">
        <v>310</v>
      </c>
      <c r="B304" s="19" t="s">
        <v>53</v>
      </c>
      <c r="C304" s="19" t="s">
        <v>698</v>
      </c>
      <c r="D304" s="19" t="s">
        <v>464</v>
      </c>
      <c r="E304" s="20">
        <v>1107.8</v>
      </c>
      <c r="F304" s="20">
        <v>0</v>
      </c>
      <c r="G304" s="20">
        <v>0</v>
      </c>
    </row>
    <row r="305" spans="1:7" ht="47.25" outlineLevel="2" x14ac:dyDescent="0.25">
      <c r="A305" s="30" t="s">
        <v>768</v>
      </c>
      <c r="B305" s="19" t="s">
        <v>53</v>
      </c>
      <c r="C305" s="19" t="s">
        <v>769</v>
      </c>
      <c r="D305" s="19"/>
      <c r="E305" s="20">
        <f>E306</f>
        <v>501.6</v>
      </c>
      <c r="F305" s="20">
        <f t="shared" ref="F305:G305" si="103">F306</f>
        <v>0</v>
      </c>
      <c r="G305" s="20">
        <f t="shared" si="103"/>
        <v>0</v>
      </c>
    </row>
    <row r="306" spans="1:7" ht="31.5" outlineLevel="2" x14ac:dyDescent="0.25">
      <c r="A306" s="34" t="s">
        <v>76</v>
      </c>
      <c r="B306" s="19" t="s">
        <v>53</v>
      </c>
      <c r="C306" s="19" t="s">
        <v>769</v>
      </c>
      <c r="D306" s="19" t="s">
        <v>39</v>
      </c>
      <c r="E306" s="20">
        <v>501.6</v>
      </c>
      <c r="F306" s="20">
        <v>0</v>
      </c>
      <c r="G306" s="20">
        <v>0</v>
      </c>
    </row>
    <row r="307" spans="1:7" ht="31.5" outlineLevel="2" x14ac:dyDescent="0.25">
      <c r="A307" s="30" t="s">
        <v>699</v>
      </c>
      <c r="B307" s="19" t="s">
        <v>53</v>
      </c>
      <c r="C307" s="19" t="s">
        <v>700</v>
      </c>
      <c r="D307" s="19"/>
      <c r="E307" s="20">
        <f t="shared" ref="E307:G307" si="104">E308</f>
        <v>7800</v>
      </c>
      <c r="F307" s="20">
        <f t="shared" si="104"/>
        <v>0</v>
      </c>
      <c r="G307" s="20">
        <f t="shared" si="104"/>
        <v>0</v>
      </c>
    </row>
    <row r="308" spans="1:7" outlineLevel="2" x14ac:dyDescent="0.25">
      <c r="A308" s="30" t="s">
        <v>33</v>
      </c>
      <c r="B308" s="19" t="s">
        <v>53</v>
      </c>
      <c r="C308" s="19" t="s">
        <v>700</v>
      </c>
      <c r="D308" s="19" t="s">
        <v>528</v>
      </c>
      <c r="E308" s="20">
        <v>7800</v>
      </c>
      <c r="F308" s="20">
        <v>0</v>
      </c>
      <c r="G308" s="20">
        <v>0</v>
      </c>
    </row>
    <row r="309" spans="1:7" outlineLevel="2" x14ac:dyDescent="0.25">
      <c r="A309" s="33" t="s">
        <v>144</v>
      </c>
      <c r="B309" s="31" t="s">
        <v>53</v>
      </c>
      <c r="C309" s="31" t="s">
        <v>83</v>
      </c>
      <c r="D309" s="2"/>
      <c r="E309" s="20">
        <f>E310+E313</f>
        <v>17859.3</v>
      </c>
      <c r="F309" s="20">
        <f t="shared" ref="F309:G309" si="105">F310+F313</f>
        <v>17859.3</v>
      </c>
      <c r="G309" s="20">
        <f t="shared" si="105"/>
        <v>17859.3</v>
      </c>
    </row>
    <row r="310" spans="1:7" ht="47.25" outlineLevel="2" x14ac:dyDescent="0.25">
      <c r="A310" s="33" t="s">
        <v>383</v>
      </c>
      <c r="B310" s="31" t="s">
        <v>53</v>
      </c>
      <c r="C310" s="31" t="s">
        <v>384</v>
      </c>
      <c r="D310" s="2"/>
      <c r="E310" s="20">
        <f>E311</f>
        <v>4359.3</v>
      </c>
      <c r="F310" s="20">
        <f t="shared" ref="F310:G311" si="106">F311</f>
        <v>4359.3</v>
      </c>
      <c r="G310" s="20">
        <f t="shared" si="106"/>
        <v>4359.3</v>
      </c>
    </row>
    <row r="311" spans="1:7" ht="78.75" outlineLevel="2" x14ac:dyDescent="0.25">
      <c r="A311" s="33" t="s">
        <v>385</v>
      </c>
      <c r="B311" s="31" t="s">
        <v>53</v>
      </c>
      <c r="C311" s="31" t="s">
        <v>386</v>
      </c>
      <c r="D311" s="2"/>
      <c r="E311" s="20">
        <f>E312</f>
        <v>4359.3</v>
      </c>
      <c r="F311" s="20">
        <f t="shared" si="106"/>
        <v>4359.3</v>
      </c>
      <c r="G311" s="20">
        <f t="shared" si="106"/>
        <v>4359.3</v>
      </c>
    </row>
    <row r="312" spans="1:7" outlineLevel="2" x14ac:dyDescent="0.25">
      <c r="A312" s="42" t="s">
        <v>33</v>
      </c>
      <c r="B312" s="24" t="s">
        <v>53</v>
      </c>
      <c r="C312" s="2" t="s">
        <v>386</v>
      </c>
      <c r="D312" s="25">
        <v>800</v>
      </c>
      <c r="E312" s="20">
        <v>4359.3</v>
      </c>
      <c r="F312" s="20">
        <v>4359.3</v>
      </c>
      <c r="G312" s="20">
        <v>4359.3</v>
      </c>
    </row>
    <row r="313" spans="1:7" ht="78.75" outlineLevel="2" x14ac:dyDescent="0.25">
      <c r="A313" s="18" t="s">
        <v>510</v>
      </c>
      <c r="B313" s="31" t="s">
        <v>53</v>
      </c>
      <c r="C313" s="31" t="s">
        <v>404</v>
      </c>
      <c r="D313" s="25"/>
      <c r="E313" s="20">
        <f>E314</f>
        <v>13500</v>
      </c>
      <c r="F313" s="20">
        <f t="shared" ref="F313:G314" si="107">F314</f>
        <v>13500</v>
      </c>
      <c r="G313" s="20">
        <f t="shared" si="107"/>
        <v>13500</v>
      </c>
    </row>
    <row r="314" spans="1:7" ht="78.75" outlineLevel="2" x14ac:dyDescent="0.25">
      <c r="A314" s="42" t="s">
        <v>405</v>
      </c>
      <c r="B314" s="24" t="s">
        <v>53</v>
      </c>
      <c r="C314" s="24" t="s">
        <v>507</v>
      </c>
      <c r="D314" s="25"/>
      <c r="E314" s="20">
        <f>E315</f>
        <v>13500</v>
      </c>
      <c r="F314" s="20">
        <f t="shared" si="107"/>
        <v>13500</v>
      </c>
      <c r="G314" s="20">
        <f t="shared" si="107"/>
        <v>13500</v>
      </c>
    </row>
    <row r="315" spans="1:7" ht="31.5" outlineLevel="2" x14ac:dyDescent="0.25">
      <c r="A315" s="42" t="s">
        <v>76</v>
      </c>
      <c r="B315" s="24" t="s">
        <v>53</v>
      </c>
      <c r="C315" s="24" t="s">
        <v>507</v>
      </c>
      <c r="D315" s="25">
        <v>200</v>
      </c>
      <c r="E315" s="20">
        <v>13500</v>
      </c>
      <c r="F315" s="20">
        <v>13500</v>
      </c>
      <c r="G315" s="20">
        <v>13500</v>
      </c>
    </row>
    <row r="316" spans="1:7" outlineLevel="1" x14ac:dyDescent="0.25">
      <c r="A316" s="34" t="s">
        <v>55</v>
      </c>
      <c r="B316" s="24" t="s">
        <v>56</v>
      </c>
      <c r="C316" s="24"/>
      <c r="D316" s="2"/>
      <c r="E316" s="20">
        <f>E317</f>
        <v>1424791.5</v>
      </c>
      <c r="F316" s="20">
        <f t="shared" ref="F316:G316" si="108">F317</f>
        <v>2961293.3000000003</v>
      </c>
      <c r="G316" s="20">
        <f t="shared" si="108"/>
        <v>2186360</v>
      </c>
    </row>
    <row r="317" spans="1:7" ht="78.75" outlineLevel="2" x14ac:dyDescent="0.25">
      <c r="A317" s="34" t="s">
        <v>347</v>
      </c>
      <c r="B317" s="24" t="s">
        <v>56</v>
      </c>
      <c r="C317" s="24" t="s">
        <v>54</v>
      </c>
      <c r="D317" s="2"/>
      <c r="E317" s="20">
        <f>E322+E395+E318</f>
        <v>1424791.5</v>
      </c>
      <c r="F317" s="20">
        <f>F322+F395+F318</f>
        <v>2961293.3000000003</v>
      </c>
      <c r="G317" s="20">
        <f>G322+G395+G318</f>
        <v>2186360</v>
      </c>
    </row>
    <row r="318" spans="1:7" outlineLevel="2" x14ac:dyDescent="0.25">
      <c r="A318" s="23" t="s">
        <v>228</v>
      </c>
      <c r="B318" s="19" t="s">
        <v>56</v>
      </c>
      <c r="C318" s="19" t="s">
        <v>604</v>
      </c>
      <c r="D318" s="19"/>
      <c r="E318" s="20">
        <f>E319</f>
        <v>399741.2</v>
      </c>
      <c r="F318" s="20">
        <f t="shared" ref="F318:G320" si="109">F319</f>
        <v>434566</v>
      </c>
      <c r="G318" s="20">
        <f t="shared" si="109"/>
        <v>540837.30000000005</v>
      </c>
    </row>
    <row r="319" spans="1:7" ht="47.25" outlineLevel="2" x14ac:dyDescent="0.25">
      <c r="A319" s="23" t="s">
        <v>602</v>
      </c>
      <c r="B319" s="19" t="s">
        <v>56</v>
      </c>
      <c r="C319" s="19" t="s">
        <v>605</v>
      </c>
      <c r="D319" s="19"/>
      <c r="E319" s="20">
        <f t="shared" ref="E319:E320" si="110">E320</f>
        <v>399741.2</v>
      </c>
      <c r="F319" s="20">
        <f t="shared" si="109"/>
        <v>434566</v>
      </c>
      <c r="G319" s="20">
        <f t="shared" si="109"/>
        <v>540837.30000000005</v>
      </c>
    </row>
    <row r="320" spans="1:7" ht="31.5" outlineLevel="2" x14ac:dyDescent="0.25">
      <c r="A320" s="23" t="s">
        <v>603</v>
      </c>
      <c r="B320" s="19" t="s">
        <v>56</v>
      </c>
      <c r="C320" s="19" t="s">
        <v>606</v>
      </c>
      <c r="D320" s="19"/>
      <c r="E320" s="20">
        <f t="shared" si="110"/>
        <v>399741.2</v>
      </c>
      <c r="F320" s="20">
        <f t="shared" si="109"/>
        <v>434566</v>
      </c>
      <c r="G320" s="20">
        <f t="shared" si="109"/>
        <v>540837.30000000005</v>
      </c>
    </row>
    <row r="321" spans="1:7" ht="47.25" outlineLevel="2" x14ac:dyDescent="0.25">
      <c r="A321" s="23" t="s">
        <v>310</v>
      </c>
      <c r="B321" s="19" t="s">
        <v>56</v>
      </c>
      <c r="C321" s="19" t="s">
        <v>606</v>
      </c>
      <c r="D321" s="19" t="s">
        <v>464</v>
      </c>
      <c r="E321" s="20">
        <f>395743.8+3997.4</f>
        <v>399741.2</v>
      </c>
      <c r="F321" s="20">
        <f>4345.7+430220.3</f>
        <v>434566</v>
      </c>
      <c r="G321" s="20">
        <f>5408.4+535428.9</f>
        <v>540837.30000000005</v>
      </c>
    </row>
    <row r="322" spans="1:7" ht="31.5" outlineLevel="2" x14ac:dyDescent="0.25">
      <c r="A322" s="33" t="s">
        <v>155</v>
      </c>
      <c r="B322" s="31" t="s">
        <v>56</v>
      </c>
      <c r="C322" s="31" t="s">
        <v>348</v>
      </c>
      <c r="D322" s="2"/>
      <c r="E322" s="20">
        <f>E323+E392</f>
        <v>576493.1</v>
      </c>
      <c r="F322" s="20">
        <f>F323</f>
        <v>2054915.0000000002</v>
      </c>
      <c r="G322" s="20">
        <f>G323</f>
        <v>1152033.2000000002</v>
      </c>
    </row>
    <row r="323" spans="1:7" ht="47.25" outlineLevel="2" x14ac:dyDescent="0.25">
      <c r="A323" s="33" t="s">
        <v>636</v>
      </c>
      <c r="B323" s="24" t="s">
        <v>56</v>
      </c>
      <c r="C323" s="24" t="s">
        <v>353</v>
      </c>
      <c r="D323" s="2"/>
      <c r="E323" s="20">
        <f>E324+E326+E328+E330+E338+E340+E342+E344+E346+E332+E336+E348+E350+E352+E354+E356+E358+E334+E360+E362+E364+E366+E368+E370+E372+E374+E376+E378+E380+E382+E390+E384+E386+E388</f>
        <v>568397</v>
      </c>
      <c r="F323" s="20">
        <f t="shared" ref="F323:G323" si="111">F324+F326+F328+F330+F338+F340+F342+F344+F346+F332+F336+F348+F350+F352+F354+F356+F358+F334+F360+F362+F364+F366+F368+F370+F372+F374+F376+F378+F380+F382+F390+F384+F386+F388</f>
        <v>2054915.0000000002</v>
      </c>
      <c r="G323" s="20">
        <f t="shared" si="111"/>
        <v>1152033.2000000002</v>
      </c>
    </row>
    <row r="324" spans="1:7" ht="63" outlineLevel="2" x14ac:dyDescent="0.25">
      <c r="A324" s="38" t="s">
        <v>354</v>
      </c>
      <c r="B324" s="24" t="s">
        <v>56</v>
      </c>
      <c r="C324" s="24" t="s">
        <v>355</v>
      </c>
      <c r="D324" s="2"/>
      <c r="E324" s="20">
        <f>E325</f>
        <v>12386.9</v>
      </c>
      <c r="F324" s="20">
        <f t="shared" ref="F324:G324" si="112">F325</f>
        <v>0</v>
      </c>
      <c r="G324" s="20">
        <f t="shared" si="112"/>
        <v>0</v>
      </c>
    </row>
    <row r="325" spans="1:7" ht="47.25" outlineLevel="2" x14ac:dyDescent="0.25">
      <c r="A325" s="38" t="s">
        <v>310</v>
      </c>
      <c r="B325" s="24" t="s">
        <v>56</v>
      </c>
      <c r="C325" s="24" t="s">
        <v>355</v>
      </c>
      <c r="D325" s="2">
        <v>400</v>
      </c>
      <c r="E325" s="20">
        <v>12386.9</v>
      </c>
      <c r="F325" s="20">
        <v>0</v>
      </c>
      <c r="G325" s="20">
        <v>0</v>
      </c>
    </row>
    <row r="326" spans="1:7" ht="94.5" outlineLevel="2" x14ac:dyDescent="0.25">
      <c r="A326" s="38" t="s">
        <v>494</v>
      </c>
      <c r="B326" s="24" t="s">
        <v>56</v>
      </c>
      <c r="C326" s="24" t="s">
        <v>356</v>
      </c>
      <c r="D326" s="2"/>
      <c r="E326" s="20">
        <f>E327</f>
        <v>8067.5</v>
      </c>
      <c r="F326" s="20">
        <f t="shared" ref="F326:G326" si="113">F327</f>
        <v>0</v>
      </c>
      <c r="G326" s="20">
        <f t="shared" si="113"/>
        <v>0</v>
      </c>
    </row>
    <row r="327" spans="1:7" ht="47.25" outlineLevel="2" x14ac:dyDescent="0.25">
      <c r="A327" s="38" t="s">
        <v>310</v>
      </c>
      <c r="B327" s="24" t="s">
        <v>56</v>
      </c>
      <c r="C327" s="24" t="s">
        <v>356</v>
      </c>
      <c r="D327" s="2">
        <v>400</v>
      </c>
      <c r="E327" s="20">
        <v>8067.5</v>
      </c>
      <c r="F327" s="20">
        <v>0</v>
      </c>
      <c r="G327" s="20">
        <v>0</v>
      </c>
    </row>
    <row r="328" spans="1:7" ht="31.5" outlineLevel="2" x14ac:dyDescent="0.25">
      <c r="A328" s="38" t="s">
        <v>357</v>
      </c>
      <c r="B328" s="24" t="s">
        <v>56</v>
      </c>
      <c r="C328" s="24" t="s">
        <v>358</v>
      </c>
      <c r="D328" s="2"/>
      <c r="E328" s="20">
        <f>E329</f>
        <v>14587.8</v>
      </c>
      <c r="F328" s="20">
        <f t="shared" ref="F328:G328" si="114">F329</f>
        <v>0</v>
      </c>
      <c r="G328" s="20">
        <f t="shared" si="114"/>
        <v>0</v>
      </c>
    </row>
    <row r="329" spans="1:7" ht="31.5" outlineLevel="2" x14ac:dyDescent="0.25">
      <c r="A329" s="33" t="s">
        <v>76</v>
      </c>
      <c r="B329" s="24" t="s">
        <v>56</v>
      </c>
      <c r="C329" s="24" t="s">
        <v>358</v>
      </c>
      <c r="D329" s="2">
        <v>200</v>
      </c>
      <c r="E329" s="20">
        <v>14587.8</v>
      </c>
      <c r="F329" s="20">
        <v>0</v>
      </c>
      <c r="G329" s="20">
        <v>0</v>
      </c>
    </row>
    <row r="330" spans="1:7" ht="31.5" outlineLevel="2" x14ac:dyDescent="0.25">
      <c r="A330" s="38" t="s">
        <v>359</v>
      </c>
      <c r="B330" s="24" t="s">
        <v>56</v>
      </c>
      <c r="C330" s="24" t="s">
        <v>360</v>
      </c>
      <c r="D330" s="2"/>
      <c r="E330" s="20">
        <f>E331</f>
        <v>200</v>
      </c>
      <c r="F330" s="20">
        <f t="shared" ref="F330:G330" si="115">F331</f>
        <v>0</v>
      </c>
      <c r="G330" s="20">
        <f t="shared" si="115"/>
        <v>0</v>
      </c>
    </row>
    <row r="331" spans="1:7" ht="47.25" outlineLevel="2" x14ac:dyDescent="0.25">
      <c r="A331" s="38" t="s">
        <v>310</v>
      </c>
      <c r="B331" s="24" t="s">
        <v>56</v>
      </c>
      <c r="C331" s="24" t="s">
        <v>360</v>
      </c>
      <c r="D331" s="2">
        <v>400</v>
      </c>
      <c r="E331" s="20">
        <v>200</v>
      </c>
      <c r="F331" s="20">
        <v>0</v>
      </c>
      <c r="G331" s="20">
        <v>0</v>
      </c>
    </row>
    <row r="332" spans="1:7" ht="63" outlineLevel="2" x14ac:dyDescent="0.25">
      <c r="A332" s="21" t="s">
        <v>387</v>
      </c>
      <c r="B332" s="24" t="s">
        <v>56</v>
      </c>
      <c r="C332" s="24" t="s">
        <v>388</v>
      </c>
      <c r="D332" s="25"/>
      <c r="E332" s="20">
        <f>E333</f>
        <v>4285.5</v>
      </c>
      <c r="F332" s="20">
        <f>F333</f>
        <v>0</v>
      </c>
      <c r="G332" s="20">
        <f>G333</f>
        <v>0</v>
      </c>
    </row>
    <row r="333" spans="1:7" ht="31.5" outlineLevel="2" x14ac:dyDescent="0.25">
      <c r="A333" s="21" t="s">
        <v>76</v>
      </c>
      <c r="B333" s="24" t="s">
        <v>56</v>
      </c>
      <c r="C333" s="24" t="s">
        <v>388</v>
      </c>
      <c r="D333" s="25">
        <v>200</v>
      </c>
      <c r="E333" s="20">
        <v>4285.5</v>
      </c>
      <c r="F333" s="20">
        <v>0</v>
      </c>
      <c r="G333" s="20">
        <v>0</v>
      </c>
    </row>
    <row r="334" spans="1:7" ht="94.5" outlineLevel="2" x14ac:dyDescent="0.25">
      <c r="A334" s="23" t="s">
        <v>706</v>
      </c>
      <c r="B334" s="19" t="s">
        <v>56</v>
      </c>
      <c r="C334" s="19" t="s">
        <v>707</v>
      </c>
      <c r="D334" s="19"/>
      <c r="E334" s="20">
        <f>E335</f>
        <v>11772.9</v>
      </c>
      <c r="F334" s="20">
        <f t="shared" ref="F334:G334" si="116">F335</f>
        <v>0</v>
      </c>
      <c r="G334" s="20">
        <f t="shared" si="116"/>
        <v>0</v>
      </c>
    </row>
    <row r="335" spans="1:7" ht="47.25" outlineLevel="2" x14ac:dyDescent="0.25">
      <c r="A335" s="23" t="s">
        <v>310</v>
      </c>
      <c r="B335" s="19" t="s">
        <v>56</v>
      </c>
      <c r="C335" s="19" t="s">
        <v>707</v>
      </c>
      <c r="D335" s="19" t="s">
        <v>464</v>
      </c>
      <c r="E335" s="20">
        <f>1722.9+50+10000</f>
        <v>11772.9</v>
      </c>
      <c r="F335" s="20">
        <v>0</v>
      </c>
      <c r="G335" s="20">
        <v>0</v>
      </c>
    </row>
    <row r="336" spans="1:7" ht="94.5" outlineLevel="2" x14ac:dyDescent="0.25">
      <c r="A336" s="23" t="s">
        <v>517</v>
      </c>
      <c r="B336" s="19" t="s">
        <v>56</v>
      </c>
      <c r="C336" s="19" t="s">
        <v>518</v>
      </c>
      <c r="D336" s="19"/>
      <c r="E336" s="20">
        <f>E337</f>
        <v>16314.000000000002</v>
      </c>
      <c r="F336" s="20">
        <f t="shared" ref="F336:G336" si="117">F337</f>
        <v>0</v>
      </c>
      <c r="G336" s="20">
        <f t="shared" si="117"/>
        <v>0</v>
      </c>
    </row>
    <row r="337" spans="1:7" ht="31.5" outlineLevel="2" x14ac:dyDescent="0.25">
      <c r="A337" s="23" t="s">
        <v>76</v>
      </c>
      <c r="B337" s="19" t="s">
        <v>56</v>
      </c>
      <c r="C337" s="19" t="s">
        <v>518</v>
      </c>
      <c r="D337" s="19" t="s">
        <v>39</v>
      </c>
      <c r="E337" s="20">
        <f>15755.2+494.7+64.1</f>
        <v>16314.000000000002</v>
      </c>
      <c r="F337" s="20">
        <v>0</v>
      </c>
      <c r="G337" s="20">
        <v>0</v>
      </c>
    </row>
    <row r="338" spans="1:7" ht="94.5" outlineLevel="2" x14ac:dyDescent="0.25">
      <c r="A338" s="38" t="s">
        <v>361</v>
      </c>
      <c r="B338" s="24" t="s">
        <v>56</v>
      </c>
      <c r="C338" s="2" t="s">
        <v>362</v>
      </c>
      <c r="D338" s="2"/>
      <c r="E338" s="20">
        <f>E339</f>
        <v>0</v>
      </c>
      <c r="F338" s="20">
        <f t="shared" ref="F338:G338" si="118">F339</f>
        <v>1698024.7000000002</v>
      </c>
      <c r="G338" s="20">
        <f t="shared" si="118"/>
        <v>795142.9</v>
      </c>
    </row>
    <row r="339" spans="1:7" ht="47.25" outlineLevel="2" x14ac:dyDescent="0.25">
      <c r="A339" s="38" t="s">
        <v>310</v>
      </c>
      <c r="B339" s="24" t="s">
        <v>56</v>
      </c>
      <c r="C339" s="2" t="s">
        <v>362</v>
      </c>
      <c r="D339" s="25">
        <v>400</v>
      </c>
      <c r="E339" s="20">
        <v>0</v>
      </c>
      <c r="F339" s="20">
        <f>99224-54064+16748.5+1658102.3-8125.7-13860.4</f>
        <v>1698024.7000000002</v>
      </c>
      <c r="G339" s="20">
        <f>7951.4+787191.5</f>
        <v>795142.9</v>
      </c>
    </row>
    <row r="340" spans="1:7" ht="31.5" outlineLevel="2" x14ac:dyDescent="0.25">
      <c r="A340" s="46" t="s">
        <v>363</v>
      </c>
      <c r="B340" s="24" t="s">
        <v>56</v>
      </c>
      <c r="C340" s="2" t="s">
        <v>364</v>
      </c>
      <c r="D340" s="2"/>
      <c r="E340" s="20">
        <f>E341</f>
        <v>35728.400000000023</v>
      </c>
      <c r="F340" s="20">
        <f t="shared" ref="F340:G340" si="119">F341</f>
        <v>307286.2</v>
      </c>
      <c r="G340" s="20">
        <f t="shared" si="119"/>
        <v>356890.30000000005</v>
      </c>
    </row>
    <row r="341" spans="1:7" ht="31.5" outlineLevel="2" x14ac:dyDescent="0.25">
      <c r="A341" s="33" t="s">
        <v>76</v>
      </c>
      <c r="B341" s="24" t="s">
        <v>56</v>
      </c>
      <c r="C341" s="2" t="s">
        <v>364</v>
      </c>
      <c r="D341" s="2">
        <v>200</v>
      </c>
      <c r="E341" s="20">
        <f>231170.2-9263.5-145127.3-2524.5-39550+61.4+962.1</f>
        <v>35728.400000000023</v>
      </c>
      <c r="F341" s="20">
        <f>35818.8+19264.3+301807.2-2976.2-46627.9</f>
        <v>307286.2</v>
      </c>
      <c r="G341" s="20">
        <f>35818.8+19264.3+301807.2</f>
        <v>356890.30000000005</v>
      </c>
    </row>
    <row r="342" spans="1:7" ht="126" outlineLevel="2" x14ac:dyDescent="0.25">
      <c r="A342" s="46" t="s">
        <v>482</v>
      </c>
      <c r="B342" s="24" t="s">
        <v>56</v>
      </c>
      <c r="C342" s="2" t="s">
        <v>365</v>
      </c>
      <c r="D342" s="2"/>
      <c r="E342" s="20">
        <f>E343</f>
        <v>43107.4</v>
      </c>
      <c r="F342" s="20">
        <f t="shared" ref="F342:G342" si="120">F343</f>
        <v>0</v>
      </c>
      <c r="G342" s="20">
        <f t="shared" si="120"/>
        <v>0</v>
      </c>
    </row>
    <row r="343" spans="1:7" ht="47.25" outlineLevel="2" x14ac:dyDescent="0.25">
      <c r="A343" s="38" t="s">
        <v>310</v>
      </c>
      <c r="B343" s="24" t="s">
        <v>56</v>
      </c>
      <c r="C343" s="2" t="s">
        <v>365</v>
      </c>
      <c r="D343" s="2">
        <v>400</v>
      </c>
      <c r="E343" s="20">
        <v>43107.4</v>
      </c>
      <c r="F343" s="20">
        <v>0</v>
      </c>
      <c r="G343" s="20">
        <v>0</v>
      </c>
    </row>
    <row r="344" spans="1:7" ht="63" outlineLevel="2" x14ac:dyDescent="0.25">
      <c r="A344" s="46" t="s">
        <v>366</v>
      </c>
      <c r="B344" s="24" t="s">
        <v>56</v>
      </c>
      <c r="C344" s="2" t="s">
        <v>367</v>
      </c>
      <c r="D344" s="2"/>
      <c r="E344" s="20">
        <f>E345</f>
        <v>18250</v>
      </c>
      <c r="F344" s="20">
        <f t="shared" ref="F344:G344" si="121">F345</f>
        <v>0</v>
      </c>
      <c r="G344" s="20">
        <f t="shared" si="121"/>
        <v>0</v>
      </c>
    </row>
    <row r="345" spans="1:7" ht="31.5" outlineLevel="2" x14ac:dyDescent="0.25">
      <c r="A345" s="33" t="s">
        <v>76</v>
      </c>
      <c r="B345" s="24" t="s">
        <v>56</v>
      </c>
      <c r="C345" s="2" t="s">
        <v>367</v>
      </c>
      <c r="D345" s="2">
        <v>200</v>
      </c>
      <c r="E345" s="20">
        <f>25098.5-410.9-6437.6</f>
        <v>18250</v>
      </c>
      <c r="F345" s="20">
        <v>0</v>
      </c>
      <c r="G345" s="20">
        <v>0</v>
      </c>
    </row>
    <row r="346" spans="1:7" ht="63" outlineLevel="2" x14ac:dyDescent="0.25">
      <c r="A346" s="46" t="s">
        <v>368</v>
      </c>
      <c r="B346" s="24" t="s">
        <v>56</v>
      </c>
      <c r="C346" s="2" t="s">
        <v>369</v>
      </c>
      <c r="D346" s="2"/>
      <c r="E346" s="20">
        <f>E347</f>
        <v>46214.2</v>
      </c>
      <c r="F346" s="20">
        <f t="shared" ref="F346:G346" si="122">F347</f>
        <v>0</v>
      </c>
      <c r="G346" s="20">
        <f t="shared" si="122"/>
        <v>0</v>
      </c>
    </row>
    <row r="347" spans="1:7" ht="31.5" outlineLevel="2" x14ac:dyDescent="0.25">
      <c r="A347" s="33" t="s">
        <v>76</v>
      </c>
      <c r="B347" s="24" t="s">
        <v>56</v>
      </c>
      <c r="C347" s="2" t="s">
        <v>369</v>
      </c>
      <c r="D347" s="2">
        <v>200</v>
      </c>
      <c r="E347" s="20">
        <f>34315.1+713.9+11185.2</f>
        <v>46214.2</v>
      </c>
      <c r="F347" s="20">
        <v>0</v>
      </c>
      <c r="G347" s="20">
        <v>0</v>
      </c>
    </row>
    <row r="348" spans="1:7" ht="94.5" outlineLevel="2" x14ac:dyDescent="0.25">
      <c r="A348" s="23" t="s">
        <v>574</v>
      </c>
      <c r="B348" s="19" t="s">
        <v>56</v>
      </c>
      <c r="C348" s="19" t="s">
        <v>577</v>
      </c>
      <c r="D348" s="19"/>
      <c r="E348" s="20">
        <f>E349</f>
        <v>15874.6</v>
      </c>
      <c r="F348" s="20">
        <f t="shared" ref="F348:G348" si="123">F349</f>
        <v>0</v>
      </c>
      <c r="G348" s="20">
        <f t="shared" si="123"/>
        <v>0</v>
      </c>
    </row>
    <row r="349" spans="1:7" ht="47.25" outlineLevel="2" x14ac:dyDescent="0.25">
      <c r="A349" s="23" t="s">
        <v>310</v>
      </c>
      <c r="B349" s="19" t="s">
        <v>56</v>
      </c>
      <c r="C349" s="19" t="s">
        <v>577</v>
      </c>
      <c r="D349" s="19" t="s">
        <v>464</v>
      </c>
      <c r="E349" s="20">
        <f>952.5+14922.1</f>
        <v>15874.6</v>
      </c>
      <c r="F349" s="20">
        <v>0</v>
      </c>
      <c r="G349" s="20">
        <v>0</v>
      </c>
    </row>
    <row r="350" spans="1:7" ht="63" outlineLevel="2" x14ac:dyDescent="0.25">
      <c r="A350" s="23" t="s">
        <v>575</v>
      </c>
      <c r="B350" s="19" t="s">
        <v>56</v>
      </c>
      <c r="C350" s="19" t="s">
        <v>578</v>
      </c>
      <c r="D350" s="19"/>
      <c r="E350" s="20">
        <f>E351</f>
        <v>7339</v>
      </c>
      <c r="F350" s="20">
        <f t="shared" ref="F350:G350" si="124">F351</f>
        <v>0</v>
      </c>
      <c r="G350" s="20">
        <f t="shared" si="124"/>
        <v>0</v>
      </c>
    </row>
    <row r="351" spans="1:7" ht="31.5" outlineLevel="2" x14ac:dyDescent="0.25">
      <c r="A351" s="23" t="s">
        <v>76</v>
      </c>
      <c r="B351" s="19" t="s">
        <v>56</v>
      </c>
      <c r="C351" s="19" t="s">
        <v>578</v>
      </c>
      <c r="D351" s="19" t="s">
        <v>39</v>
      </c>
      <c r="E351" s="20">
        <f>440.3+6898.7</f>
        <v>7339</v>
      </c>
      <c r="F351" s="20">
        <v>0</v>
      </c>
      <c r="G351" s="20">
        <v>0</v>
      </c>
    </row>
    <row r="352" spans="1:7" ht="63" outlineLevel="2" x14ac:dyDescent="0.25">
      <c r="A352" s="23" t="s">
        <v>576</v>
      </c>
      <c r="B352" s="19" t="s">
        <v>56</v>
      </c>
      <c r="C352" s="19" t="s">
        <v>579</v>
      </c>
      <c r="D352" s="19"/>
      <c r="E352" s="20">
        <f>E353</f>
        <v>46337.9</v>
      </c>
      <c r="F352" s="20">
        <f t="shared" ref="F352:G352" si="125">F353</f>
        <v>0</v>
      </c>
      <c r="G352" s="20">
        <f t="shared" si="125"/>
        <v>0</v>
      </c>
    </row>
    <row r="353" spans="1:7" ht="31.5" outlineLevel="2" x14ac:dyDescent="0.25">
      <c r="A353" s="23" t="s">
        <v>76</v>
      </c>
      <c r="B353" s="19" t="s">
        <v>56</v>
      </c>
      <c r="C353" s="19" t="s">
        <v>579</v>
      </c>
      <c r="D353" s="19" t="s">
        <v>39</v>
      </c>
      <c r="E353" s="20">
        <f>2780.3+43557.6</f>
        <v>46337.9</v>
      </c>
      <c r="F353" s="20">
        <v>0</v>
      </c>
      <c r="G353" s="20">
        <v>0</v>
      </c>
    </row>
    <row r="354" spans="1:7" ht="78.75" outlineLevel="2" x14ac:dyDescent="0.25">
      <c r="A354" s="23" t="s">
        <v>580</v>
      </c>
      <c r="B354" s="19" t="s">
        <v>56</v>
      </c>
      <c r="C354" s="19" t="s">
        <v>583</v>
      </c>
      <c r="D354" s="19"/>
      <c r="E354" s="20">
        <f>E355</f>
        <v>2845.9</v>
      </c>
      <c r="F354" s="20">
        <f t="shared" ref="F354:G354" si="126">F355</f>
        <v>0</v>
      </c>
      <c r="G354" s="20">
        <f t="shared" si="126"/>
        <v>0</v>
      </c>
    </row>
    <row r="355" spans="1:7" ht="31.5" outlineLevel="2" x14ac:dyDescent="0.25">
      <c r="A355" s="23" t="s">
        <v>76</v>
      </c>
      <c r="B355" s="19" t="s">
        <v>56</v>
      </c>
      <c r="C355" s="19" t="s">
        <v>583</v>
      </c>
      <c r="D355" s="19" t="s">
        <v>39</v>
      </c>
      <c r="E355" s="20">
        <f>170.8+2675.1</f>
        <v>2845.9</v>
      </c>
      <c r="F355" s="20">
        <v>0</v>
      </c>
      <c r="G355" s="20">
        <v>0</v>
      </c>
    </row>
    <row r="356" spans="1:7" ht="78.75" outlineLevel="2" x14ac:dyDescent="0.25">
      <c r="A356" s="23" t="s">
        <v>581</v>
      </c>
      <c r="B356" s="19" t="s">
        <v>56</v>
      </c>
      <c r="C356" s="19" t="s">
        <v>584</v>
      </c>
      <c r="D356" s="19"/>
      <c r="E356" s="20">
        <f>E357</f>
        <v>2315.6</v>
      </c>
      <c r="F356" s="20">
        <f t="shared" ref="F356:G356" si="127">F357</f>
        <v>0</v>
      </c>
      <c r="G356" s="20">
        <f t="shared" si="127"/>
        <v>0</v>
      </c>
    </row>
    <row r="357" spans="1:7" ht="31.5" outlineLevel="2" x14ac:dyDescent="0.25">
      <c r="A357" s="23" t="s">
        <v>76</v>
      </c>
      <c r="B357" s="19" t="s">
        <v>56</v>
      </c>
      <c r="C357" s="19" t="s">
        <v>584</v>
      </c>
      <c r="D357" s="19" t="s">
        <v>39</v>
      </c>
      <c r="E357" s="20">
        <f>138.9+2176.7</f>
        <v>2315.6</v>
      </c>
      <c r="F357" s="20">
        <v>0</v>
      </c>
      <c r="G357" s="20">
        <v>0</v>
      </c>
    </row>
    <row r="358" spans="1:7" ht="94.5" outlineLevel="2" x14ac:dyDescent="0.25">
      <c r="A358" s="23" t="s">
        <v>582</v>
      </c>
      <c r="B358" s="19" t="s">
        <v>56</v>
      </c>
      <c r="C358" s="19" t="s">
        <v>585</v>
      </c>
      <c r="D358" s="19"/>
      <c r="E358" s="20">
        <f>E359</f>
        <v>5166.8999999999996</v>
      </c>
      <c r="F358" s="20">
        <f t="shared" ref="F358:G358" si="128">F359</f>
        <v>0</v>
      </c>
      <c r="G358" s="20">
        <f t="shared" si="128"/>
        <v>0</v>
      </c>
    </row>
    <row r="359" spans="1:7" ht="31.5" outlineLevel="2" x14ac:dyDescent="0.25">
      <c r="A359" s="23" t="s">
        <v>76</v>
      </c>
      <c r="B359" s="19" t="s">
        <v>56</v>
      </c>
      <c r="C359" s="19" t="s">
        <v>585</v>
      </c>
      <c r="D359" s="19" t="s">
        <v>39</v>
      </c>
      <c r="E359" s="20">
        <f>310+4856.9</f>
        <v>5166.8999999999996</v>
      </c>
      <c r="F359" s="20">
        <v>0</v>
      </c>
      <c r="G359" s="20">
        <v>0</v>
      </c>
    </row>
    <row r="360" spans="1:7" ht="63" outlineLevel="2" x14ac:dyDescent="0.25">
      <c r="A360" s="23" t="s">
        <v>586</v>
      </c>
      <c r="B360" s="19" t="s">
        <v>56</v>
      </c>
      <c r="C360" s="19" t="s">
        <v>588</v>
      </c>
      <c r="D360" s="19"/>
      <c r="E360" s="20">
        <f>E361</f>
        <v>1916.9</v>
      </c>
      <c r="F360" s="20">
        <f t="shared" ref="F360:G360" si="129">F361</f>
        <v>0</v>
      </c>
      <c r="G360" s="20">
        <f t="shared" si="129"/>
        <v>0</v>
      </c>
    </row>
    <row r="361" spans="1:7" ht="31.5" outlineLevel="2" x14ac:dyDescent="0.25">
      <c r="A361" s="23" t="s">
        <v>76</v>
      </c>
      <c r="B361" s="19" t="s">
        <v>56</v>
      </c>
      <c r="C361" s="19" t="s">
        <v>588</v>
      </c>
      <c r="D361" s="19" t="s">
        <v>39</v>
      </c>
      <c r="E361" s="20">
        <f>115+1801.9</f>
        <v>1916.9</v>
      </c>
      <c r="F361" s="20">
        <v>0</v>
      </c>
      <c r="G361" s="20">
        <v>0</v>
      </c>
    </row>
    <row r="362" spans="1:7" ht="78.75" outlineLevel="2" x14ac:dyDescent="0.25">
      <c r="A362" s="23" t="s">
        <v>587</v>
      </c>
      <c r="B362" s="19" t="s">
        <v>56</v>
      </c>
      <c r="C362" s="19" t="s">
        <v>589</v>
      </c>
      <c r="D362" s="19"/>
      <c r="E362" s="20">
        <f>E363</f>
        <v>221.10000000000002</v>
      </c>
      <c r="F362" s="20">
        <f t="shared" ref="F362:G362" si="130">F363</f>
        <v>0</v>
      </c>
      <c r="G362" s="20">
        <f t="shared" si="130"/>
        <v>0</v>
      </c>
    </row>
    <row r="363" spans="1:7" ht="31.5" outlineLevel="2" x14ac:dyDescent="0.25">
      <c r="A363" s="23" t="s">
        <v>76</v>
      </c>
      <c r="B363" s="19" t="s">
        <v>56</v>
      </c>
      <c r="C363" s="19" t="s">
        <v>589</v>
      </c>
      <c r="D363" s="19" t="s">
        <v>39</v>
      </c>
      <c r="E363" s="20">
        <f>13.3+207.8</f>
        <v>221.10000000000002</v>
      </c>
      <c r="F363" s="20">
        <v>0</v>
      </c>
      <c r="G363" s="20">
        <v>0</v>
      </c>
    </row>
    <row r="364" spans="1:7" ht="78.75" outlineLevel="2" x14ac:dyDescent="0.25">
      <c r="A364" s="23" t="s">
        <v>590</v>
      </c>
      <c r="B364" s="19" t="s">
        <v>56</v>
      </c>
      <c r="C364" s="19" t="s">
        <v>594</v>
      </c>
      <c r="D364" s="19"/>
      <c r="E364" s="20">
        <f>E365</f>
        <v>19761.8</v>
      </c>
      <c r="F364" s="20">
        <f t="shared" ref="F364:G364" si="131">F365</f>
        <v>0</v>
      </c>
      <c r="G364" s="20">
        <f t="shared" si="131"/>
        <v>0</v>
      </c>
    </row>
    <row r="365" spans="1:7" ht="31.5" outlineLevel="2" x14ac:dyDescent="0.25">
      <c r="A365" s="23" t="s">
        <v>76</v>
      </c>
      <c r="B365" s="19" t="s">
        <v>56</v>
      </c>
      <c r="C365" s="19" t="s">
        <v>594</v>
      </c>
      <c r="D365" s="19" t="s">
        <v>39</v>
      </c>
      <c r="E365" s="20">
        <f>1185.7+18576.1</f>
        <v>19761.8</v>
      </c>
      <c r="F365" s="20">
        <v>0</v>
      </c>
      <c r="G365" s="20">
        <v>0</v>
      </c>
    </row>
    <row r="366" spans="1:7" ht="63" outlineLevel="2" x14ac:dyDescent="0.25">
      <c r="A366" s="23" t="s">
        <v>591</v>
      </c>
      <c r="B366" s="19" t="s">
        <v>56</v>
      </c>
      <c r="C366" s="19" t="s">
        <v>595</v>
      </c>
      <c r="D366" s="19"/>
      <c r="E366" s="20">
        <f>E367</f>
        <v>37054.300000000003</v>
      </c>
      <c r="F366" s="20">
        <f t="shared" ref="F366:G366" si="132">F367</f>
        <v>0</v>
      </c>
      <c r="G366" s="20">
        <f t="shared" si="132"/>
        <v>0</v>
      </c>
    </row>
    <row r="367" spans="1:7" ht="31.5" outlineLevel="2" x14ac:dyDescent="0.25">
      <c r="A367" s="23" t="s">
        <v>76</v>
      </c>
      <c r="B367" s="19" t="s">
        <v>56</v>
      </c>
      <c r="C367" s="19" t="s">
        <v>595</v>
      </c>
      <c r="D367" s="19" t="s">
        <v>39</v>
      </c>
      <c r="E367" s="20">
        <f>2223.3+34831</f>
        <v>37054.300000000003</v>
      </c>
      <c r="F367" s="20">
        <v>0</v>
      </c>
      <c r="G367" s="20">
        <v>0</v>
      </c>
    </row>
    <row r="368" spans="1:7" ht="63" outlineLevel="2" x14ac:dyDescent="0.25">
      <c r="A368" s="23" t="s">
        <v>592</v>
      </c>
      <c r="B368" s="19" t="s">
        <v>56</v>
      </c>
      <c r="C368" s="19" t="s">
        <v>596</v>
      </c>
      <c r="D368" s="19"/>
      <c r="E368" s="20">
        <f>E369</f>
        <v>3635.7999999999997</v>
      </c>
      <c r="F368" s="20">
        <f t="shared" ref="F368:G368" si="133">F369</f>
        <v>0</v>
      </c>
      <c r="G368" s="20">
        <f t="shared" si="133"/>
        <v>0</v>
      </c>
    </row>
    <row r="369" spans="1:7" ht="31.5" outlineLevel="2" x14ac:dyDescent="0.25">
      <c r="A369" s="23" t="s">
        <v>76</v>
      </c>
      <c r="B369" s="19" t="s">
        <v>56</v>
      </c>
      <c r="C369" s="19" t="s">
        <v>596</v>
      </c>
      <c r="D369" s="19" t="s">
        <v>39</v>
      </c>
      <c r="E369" s="20">
        <f>218.2+3417.6</f>
        <v>3635.7999999999997</v>
      </c>
      <c r="F369" s="20">
        <v>0</v>
      </c>
      <c r="G369" s="20">
        <v>0</v>
      </c>
    </row>
    <row r="370" spans="1:7" ht="63" outlineLevel="2" x14ac:dyDescent="0.25">
      <c r="A370" s="23" t="s">
        <v>593</v>
      </c>
      <c r="B370" s="19" t="s">
        <v>56</v>
      </c>
      <c r="C370" s="19" t="s">
        <v>597</v>
      </c>
      <c r="D370" s="19"/>
      <c r="E370" s="20">
        <f>E371</f>
        <v>6567.1</v>
      </c>
      <c r="F370" s="20">
        <f t="shared" ref="F370:G370" si="134">F371</f>
        <v>0</v>
      </c>
      <c r="G370" s="20">
        <f t="shared" si="134"/>
        <v>0</v>
      </c>
    </row>
    <row r="371" spans="1:7" ht="31.5" outlineLevel="2" x14ac:dyDescent="0.25">
      <c r="A371" s="23" t="s">
        <v>76</v>
      </c>
      <c r="B371" s="19" t="s">
        <v>56</v>
      </c>
      <c r="C371" s="19" t="s">
        <v>597</v>
      </c>
      <c r="D371" s="19" t="s">
        <v>39</v>
      </c>
      <c r="E371" s="20">
        <f>394+6173.1</f>
        <v>6567.1</v>
      </c>
      <c r="F371" s="20">
        <v>0</v>
      </c>
      <c r="G371" s="20">
        <v>0</v>
      </c>
    </row>
    <row r="372" spans="1:7" ht="110.25" outlineLevel="2" x14ac:dyDescent="0.25">
      <c r="A372" s="47" t="s">
        <v>708</v>
      </c>
      <c r="B372" s="19" t="s">
        <v>56</v>
      </c>
      <c r="C372" s="19" t="s">
        <v>710</v>
      </c>
      <c r="D372" s="19"/>
      <c r="E372" s="20">
        <f t="shared" ref="E372:G372" si="135">E373</f>
        <v>57328.3</v>
      </c>
      <c r="F372" s="20">
        <f t="shared" si="135"/>
        <v>0</v>
      </c>
      <c r="G372" s="20">
        <f t="shared" si="135"/>
        <v>0</v>
      </c>
    </row>
    <row r="373" spans="1:7" ht="47.25" outlineLevel="2" x14ac:dyDescent="0.25">
      <c r="A373" s="23" t="s">
        <v>310</v>
      </c>
      <c r="B373" s="19" t="s">
        <v>56</v>
      </c>
      <c r="C373" s="19" t="s">
        <v>710</v>
      </c>
      <c r="D373" s="19" t="s">
        <v>464</v>
      </c>
      <c r="E373" s="20">
        <f>3341.8+52354.8+1631.7</f>
        <v>57328.3</v>
      </c>
      <c r="F373" s="20">
        <v>0</v>
      </c>
      <c r="G373" s="20">
        <v>0</v>
      </c>
    </row>
    <row r="374" spans="1:7" ht="78.75" outlineLevel="2" x14ac:dyDescent="0.25">
      <c r="A374" s="39" t="s">
        <v>709</v>
      </c>
      <c r="B374" s="19" t="s">
        <v>56</v>
      </c>
      <c r="C374" s="19" t="s">
        <v>711</v>
      </c>
      <c r="D374" s="19"/>
      <c r="E374" s="20">
        <f t="shared" ref="E374:G374" si="136">E375</f>
        <v>33723</v>
      </c>
      <c r="F374" s="20">
        <f t="shared" si="136"/>
        <v>0</v>
      </c>
      <c r="G374" s="20">
        <f t="shared" si="136"/>
        <v>0</v>
      </c>
    </row>
    <row r="375" spans="1:7" ht="47.25" outlineLevel="2" x14ac:dyDescent="0.25">
      <c r="A375" s="23" t="s">
        <v>310</v>
      </c>
      <c r="B375" s="19" t="s">
        <v>56</v>
      </c>
      <c r="C375" s="19" t="s">
        <v>711</v>
      </c>
      <c r="D375" s="19" t="s">
        <v>464</v>
      </c>
      <c r="E375" s="20">
        <f>2014.5+31559.9+148.6</f>
        <v>33723</v>
      </c>
      <c r="F375" s="20">
        <v>0</v>
      </c>
      <c r="G375" s="20">
        <v>0</v>
      </c>
    </row>
    <row r="376" spans="1:7" ht="63" outlineLevel="2" x14ac:dyDescent="0.25">
      <c r="A376" s="39" t="s">
        <v>712</v>
      </c>
      <c r="B376" s="19" t="s">
        <v>56</v>
      </c>
      <c r="C376" s="19" t="s">
        <v>716</v>
      </c>
      <c r="D376" s="19"/>
      <c r="E376" s="20">
        <f t="shared" ref="E376:G376" si="137">E377</f>
        <v>9511.9000000000015</v>
      </c>
      <c r="F376" s="20">
        <f t="shared" si="137"/>
        <v>0</v>
      </c>
      <c r="G376" s="20">
        <f t="shared" si="137"/>
        <v>0</v>
      </c>
    </row>
    <row r="377" spans="1:7" ht="47.25" outlineLevel="2" x14ac:dyDescent="0.25">
      <c r="A377" s="23" t="s">
        <v>310</v>
      </c>
      <c r="B377" s="19" t="s">
        <v>56</v>
      </c>
      <c r="C377" s="19" t="s">
        <v>716</v>
      </c>
      <c r="D377" s="19" t="s">
        <v>464</v>
      </c>
      <c r="E377" s="20">
        <f>570.7+8941.2</f>
        <v>9511.9000000000015</v>
      </c>
      <c r="F377" s="20">
        <v>0</v>
      </c>
      <c r="G377" s="20">
        <v>0</v>
      </c>
    </row>
    <row r="378" spans="1:7" ht="78.75" outlineLevel="2" x14ac:dyDescent="0.25">
      <c r="A378" s="39" t="s">
        <v>713</v>
      </c>
      <c r="B378" s="19" t="s">
        <v>56</v>
      </c>
      <c r="C378" s="19" t="s">
        <v>717</v>
      </c>
      <c r="D378" s="19"/>
      <c r="E378" s="20">
        <f t="shared" ref="E378:G378" si="138">E379</f>
        <v>0</v>
      </c>
      <c r="F378" s="20">
        <f t="shared" si="138"/>
        <v>17635.599999999999</v>
      </c>
      <c r="G378" s="20">
        <f t="shared" si="138"/>
        <v>0</v>
      </c>
    </row>
    <row r="379" spans="1:7" ht="47.25" outlineLevel="2" x14ac:dyDescent="0.25">
      <c r="A379" s="23" t="s">
        <v>310</v>
      </c>
      <c r="B379" s="19" t="s">
        <v>56</v>
      </c>
      <c r="C379" s="19" t="s">
        <v>717</v>
      </c>
      <c r="D379" s="19" t="s">
        <v>464</v>
      </c>
      <c r="E379" s="20">
        <v>0</v>
      </c>
      <c r="F379" s="20">
        <f>16577.5+1058.1</f>
        <v>17635.599999999999</v>
      </c>
      <c r="G379" s="20">
        <v>0</v>
      </c>
    </row>
    <row r="380" spans="1:7" ht="78.75" outlineLevel="2" x14ac:dyDescent="0.25">
      <c r="A380" s="39" t="s">
        <v>714</v>
      </c>
      <c r="B380" s="19" t="s">
        <v>56</v>
      </c>
      <c r="C380" s="19" t="s">
        <v>718</v>
      </c>
      <c r="D380" s="19"/>
      <c r="E380" s="20">
        <f t="shared" ref="E380:G380" si="139">E381</f>
        <v>0</v>
      </c>
      <c r="F380" s="20">
        <f t="shared" si="139"/>
        <v>31968.5</v>
      </c>
      <c r="G380" s="20">
        <f t="shared" si="139"/>
        <v>0</v>
      </c>
    </row>
    <row r="381" spans="1:7" ht="47.25" outlineLevel="2" x14ac:dyDescent="0.25">
      <c r="A381" s="23" t="s">
        <v>310</v>
      </c>
      <c r="B381" s="19" t="s">
        <v>56</v>
      </c>
      <c r="C381" s="19" t="s">
        <v>718</v>
      </c>
      <c r="D381" s="19" t="s">
        <v>464</v>
      </c>
      <c r="E381" s="20">
        <v>0</v>
      </c>
      <c r="F381" s="20">
        <f>30050.4+1918.1</f>
        <v>31968.5</v>
      </c>
      <c r="G381" s="20">
        <v>0</v>
      </c>
    </row>
    <row r="382" spans="1:7" ht="78.75" outlineLevel="2" x14ac:dyDescent="0.25">
      <c r="A382" s="39" t="s">
        <v>715</v>
      </c>
      <c r="B382" s="19" t="s">
        <v>56</v>
      </c>
      <c r="C382" s="19" t="s">
        <v>719</v>
      </c>
      <c r="D382" s="19"/>
      <c r="E382" s="20">
        <f t="shared" ref="E382:G382" si="140">E383</f>
        <v>42377.799999999996</v>
      </c>
      <c r="F382" s="20">
        <f t="shared" si="140"/>
        <v>0</v>
      </c>
      <c r="G382" s="20">
        <f t="shared" si="140"/>
        <v>0</v>
      </c>
    </row>
    <row r="383" spans="1:7" ht="47.25" outlineLevel="2" x14ac:dyDescent="0.25">
      <c r="A383" s="23" t="s">
        <v>310</v>
      </c>
      <c r="B383" s="19" t="s">
        <v>56</v>
      </c>
      <c r="C383" s="19" t="s">
        <v>719</v>
      </c>
      <c r="D383" s="19" t="s">
        <v>464</v>
      </c>
      <c r="E383" s="20">
        <f>2542.7+39835.1</f>
        <v>42377.799999999996</v>
      </c>
      <c r="F383" s="20">
        <v>0</v>
      </c>
      <c r="G383" s="20">
        <v>0</v>
      </c>
    </row>
    <row r="384" spans="1:7" ht="94.5" outlineLevel="2" x14ac:dyDescent="0.25">
      <c r="A384" s="38" t="s">
        <v>770</v>
      </c>
      <c r="B384" s="19" t="s">
        <v>56</v>
      </c>
      <c r="C384" s="19" t="s">
        <v>772</v>
      </c>
      <c r="D384" s="19"/>
      <c r="E384" s="20">
        <f>E385</f>
        <v>8314.6</v>
      </c>
      <c r="F384" s="20">
        <f t="shared" ref="F384:G384" si="141">F385</f>
        <v>0</v>
      </c>
      <c r="G384" s="20">
        <f t="shared" si="141"/>
        <v>0</v>
      </c>
    </row>
    <row r="385" spans="1:7" ht="31.5" outlineLevel="2" x14ac:dyDescent="0.25">
      <c r="A385" s="34" t="s">
        <v>76</v>
      </c>
      <c r="B385" s="19" t="s">
        <v>56</v>
      </c>
      <c r="C385" s="19" t="s">
        <v>772</v>
      </c>
      <c r="D385" s="19" t="s">
        <v>39</v>
      </c>
      <c r="E385" s="20">
        <f>498.9+7815.7</f>
        <v>8314.6</v>
      </c>
      <c r="F385" s="20">
        <v>0</v>
      </c>
      <c r="G385" s="20">
        <v>0</v>
      </c>
    </row>
    <row r="386" spans="1:7" ht="63" outlineLevel="2" x14ac:dyDescent="0.25">
      <c r="A386" s="38" t="s">
        <v>771</v>
      </c>
      <c r="B386" s="19" t="s">
        <v>56</v>
      </c>
      <c r="C386" s="19" t="s">
        <v>773</v>
      </c>
      <c r="D386" s="19"/>
      <c r="E386" s="20">
        <f>E387</f>
        <v>18636.7</v>
      </c>
      <c r="F386" s="20">
        <f t="shared" ref="F386:G386" si="142">F387</f>
        <v>0</v>
      </c>
      <c r="G386" s="20">
        <f t="shared" si="142"/>
        <v>0</v>
      </c>
    </row>
    <row r="387" spans="1:7" ht="31.5" outlineLevel="2" x14ac:dyDescent="0.25">
      <c r="A387" s="34" t="s">
        <v>76</v>
      </c>
      <c r="B387" s="19" t="s">
        <v>56</v>
      </c>
      <c r="C387" s="19" t="s">
        <v>773</v>
      </c>
      <c r="D387" s="19" t="s">
        <v>39</v>
      </c>
      <c r="E387" s="20">
        <f>1118.2+17518.5</f>
        <v>18636.7</v>
      </c>
      <c r="F387" s="20">
        <v>0</v>
      </c>
      <c r="G387" s="20">
        <v>0</v>
      </c>
    </row>
    <row r="388" spans="1:7" ht="63" outlineLevel="2" x14ac:dyDescent="0.25">
      <c r="A388" s="38" t="s">
        <v>774</v>
      </c>
      <c r="B388" s="19" t="s">
        <v>56</v>
      </c>
      <c r="C388" s="19" t="s">
        <v>775</v>
      </c>
      <c r="D388" s="19"/>
      <c r="E388" s="20">
        <f>E389</f>
        <v>22302.5</v>
      </c>
      <c r="F388" s="20">
        <f>F389</f>
        <v>0</v>
      </c>
      <c r="G388" s="20">
        <f>G389</f>
        <v>0</v>
      </c>
    </row>
    <row r="389" spans="1:7" ht="31.5" outlineLevel="2" x14ac:dyDescent="0.25">
      <c r="A389" s="34" t="s">
        <v>76</v>
      </c>
      <c r="B389" s="19" t="s">
        <v>56</v>
      </c>
      <c r="C389" s="19" t="s">
        <v>775</v>
      </c>
      <c r="D389" s="19" t="s">
        <v>39</v>
      </c>
      <c r="E389" s="20">
        <f>1338.2+20964.3</f>
        <v>22302.5</v>
      </c>
      <c r="F389" s="20">
        <v>0</v>
      </c>
      <c r="G389" s="20">
        <v>0</v>
      </c>
    </row>
    <row r="390" spans="1:7" ht="63" outlineLevel="2" x14ac:dyDescent="0.25">
      <c r="A390" s="23" t="s">
        <v>764</v>
      </c>
      <c r="B390" s="19" t="s">
        <v>56</v>
      </c>
      <c r="C390" s="19" t="s">
        <v>765</v>
      </c>
      <c r="D390" s="19"/>
      <c r="E390" s="20">
        <f>E391</f>
        <v>16250.7</v>
      </c>
      <c r="F390" s="20">
        <f t="shared" ref="F390:G390" si="143">F391</f>
        <v>0</v>
      </c>
      <c r="G390" s="20">
        <f t="shared" si="143"/>
        <v>0</v>
      </c>
    </row>
    <row r="391" spans="1:7" ht="31.5" outlineLevel="2" x14ac:dyDescent="0.25">
      <c r="A391" s="23" t="s">
        <v>76</v>
      </c>
      <c r="B391" s="19" t="s">
        <v>56</v>
      </c>
      <c r="C391" s="19" t="s">
        <v>765</v>
      </c>
      <c r="D391" s="19" t="s">
        <v>39</v>
      </c>
      <c r="E391" s="20">
        <f>975+15275.7</f>
        <v>16250.7</v>
      </c>
      <c r="F391" s="20"/>
      <c r="G391" s="20"/>
    </row>
    <row r="392" spans="1:7" ht="47.25" outlineLevel="2" x14ac:dyDescent="0.25">
      <c r="A392" s="34" t="s">
        <v>553</v>
      </c>
      <c r="B392" s="19" t="s">
        <v>56</v>
      </c>
      <c r="C392" s="19" t="s">
        <v>554</v>
      </c>
      <c r="D392" s="19"/>
      <c r="E392" s="20">
        <f>E393</f>
        <v>8096.1</v>
      </c>
      <c r="F392" s="20">
        <f t="shared" ref="F392:G393" si="144">F393</f>
        <v>0</v>
      </c>
      <c r="G392" s="20">
        <f t="shared" si="144"/>
        <v>0</v>
      </c>
    </row>
    <row r="393" spans="1:7" ht="31.5" outlineLevel="2" x14ac:dyDescent="0.25">
      <c r="A393" s="42" t="s">
        <v>399</v>
      </c>
      <c r="B393" s="19" t="s">
        <v>56</v>
      </c>
      <c r="C393" s="19" t="s">
        <v>555</v>
      </c>
      <c r="D393" s="19"/>
      <c r="E393" s="20">
        <f>E394</f>
        <v>8096.1</v>
      </c>
      <c r="F393" s="20">
        <f t="shared" si="144"/>
        <v>0</v>
      </c>
      <c r="G393" s="20">
        <f t="shared" si="144"/>
        <v>0</v>
      </c>
    </row>
    <row r="394" spans="1:7" outlineLevel="2" x14ac:dyDescent="0.25">
      <c r="A394" s="42" t="s">
        <v>33</v>
      </c>
      <c r="B394" s="19" t="s">
        <v>56</v>
      </c>
      <c r="C394" s="19" t="s">
        <v>555</v>
      </c>
      <c r="D394" s="19" t="s">
        <v>528</v>
      </c>
      <c r="E394" s="20">
        <f>485.8+7610.3</f>
        <v>8096.1</v>
      </c>
      <c r="F394" s="20">
        <v>0</v>
      </c>
      <c r="G394" s="20">
        <v>0</v>
      </c>
    </row>
    <row r="395" spans="1:7" outlineLevel="2" x14ac:dyDescent="0.25">
      <c r="A395" s="33" t="s">
        <v>144</v>
      </c>
      <c r="B395" s="31" t="s">
        <v>56</v>
      </c>
      <c r="C395" s="31" t="s">
        <v>83</v>
      </c>
      <c r="D395" s="25"/>
      <c r="E395" s="20">
        <f>E396+E406</f>
        <v>448557.19999999995</v>
      </c>
      <c r="F395" s="20">
        <f>F396+F406</f>
        <v>471812.30000000005</v>
      </c>
      <c r="G395" s="20">
        <f>G396+G406</f>
        <v>493489.5</v>
      </c>
    </row>
    <row r="396" spans="1:7" ht="63" outlineLevel="2" x14ac:dyDescent="0.25">
      <c r="A396" s="33" t="s">
        <v>389</v>
      </c>
      <c r="B396" s="31" t="s">
        <v>56</v>
      </c>
      <c r="C396" s="31" t="s">
        <v>390</v>
      </c>
      <c r="D396" s="25"/>
      <c r="E396" s="20">
        <f>E2956+E402+E404+E399+E397</f>
        <v>432154.1</v>
      </c>
      <c r="F396" s="20">
        <f>F2956+F402+F404+F399+F397</f>
        <v>454753.4</v>
      </c>
      <c r="G396" s="20">
        <f>G2956+G402+G404+G399+G397</f>
        <v>475748.6</v>
      </c>
    </row>
    <row r="397" spans="1:7" ht="63" outlineLevel="2" x14ac:dyDescent="0.25">
      <c r="A397" s="42" t="s">
        <v>391</v>
      </c>
      <c r="B397" s="24" t="s">
        <v>56</v>
      </c>
      <c r="C397" s="24" t="s">
        <v>392</v>
      </c>
      <c r="D397" s="25"/>
      <c r="E397" s="20">
        <f>E398</f>
        <v>4371.1000000000004</v>
      </c>
      <c r="F397" s="20">
        <f t="shared" ref="F397:G397" si="145">F398</f>
        <v>0</v>
      </c>
      <c r="G397" s="20">
        <f t="shared" si="145"/>
        <v>0</v>
      </c>
    </row>
    <row r="398" spans="1:7" ht="31.5" outlineLevel="2" x14ac:dyDescent="0.25">
      <c r="A398" s="30" t="s">
        <v>76</v>
      </c>
      <c r="B398" s="24" t="s">
        <v>56</v>
      </c>
      <c r="C398" s="24" t="s">
        <v>392</v>
      </c>
      <c r="D398" s="25">
        <v>200</v>
      </c>
      <c r="E398" s="20">
        <f>1322+555.8+293.5+2199.8</f>
        <v>4371.1000000000004</v>
      </c>
      <c r="F398" s="20">
        <v>0</v>
      </c>
      <c r="G398" s="20">
        <v>0</v>
      </c>
    </row>
    <row r="399" spans="1:7" ht="110.25" outlineLevel="2" x14ac:dyDescent="0.25">
      <c r="A399" s="42" t="s">
        <v>395</v>
      </c>
      <c r="B399" s="19" t="s">
        <v>56</v>
      </c>
      <c r="C399" s="19" t="s">
        <v>611</v>
      </c>
      <c r="D399" s="19"/>
      <c r="E399" s="20">
        <f>SUM(E400:E401)</f>
        <v>231052.6</v>
      </c>
      <c r="F399" s="20">
        <f t="shared" ref="F399:G399" si="146">SUM(F400:F401)</f>
        <v>246313.9</v>
      </c>
      <c r="G399" s="20">
        <f t="shared" si="146"/>
        <v>255918.4</v>
      </c>
    </row>
    <row r="400" spans="1:7" ht="31.5" outlineLevel="2" x14ac:dyDescent="0.25">
      <c r="A400" s="34" t="s">
        <v>76</v>
      </c>
      <c r="B400" s="19" t="s">
        <v>56</v>
      </c>
      <c r="C400" s="19" t="s">
        <v>611</v>
      </c>
      <c r="D400" s="19" t="s">
        <v>39</v>
      </c>
      <c r="E400" s="20">
        <v>44.9</v>
      </c>
      <c r="F400" s="20">
        <v>44.9</v>
      </c>
      <c r="G400" s="20">
        <v>44.9</v>
      </c>
    </row>
    <row r="401" spans="1:7" outlineLevel="2" x14ac:dyDescent="0.25">
      <c r="A401" s="42" t="s">
        <v>33</v>
      </c>
      <c r="B401" s="19" t="s">
        <v>56</v>
      </c>
      <c r="C401" s="19" t="s">
        <v>611</v>
      </c>
      <c r="D401" s="19" t="s">
        <v>528</v>
      </c>
      <c r="E401" s="20">
        <v>231007.7</v>
      </c>
      <c r="F401" s="20">
        <v>246269</v>
      </c>
      <c r="G401" s="20">
        <v>255873.5</v>
      </c>
    </row>
    <row r="402" spans="1:7" ht="94.5" outlineLevel="2" x14ac:dyDescent="0.25">
      <c r="A402" s="42" t="s">
        <v>394</v>
      </c>
      <c r="B402" s="19" t="s">
        <v>56</v>
      </c>
      <c r="C402" s="19" t="s">
        <v>556</v>
      </c>
      <c r="D402" s="19"/>
      <c r="E402" s="20">
        <f>E403</f>
        <v>4457</v>
      </c>
      <c r="F402" s="20">
        <f t="shared" ref="F402:G402" si="147">F403</f>
        <v>4938.2</v>
      </c>
      <c r="G402" s="20">
        <f t="shared" si="147"/>
        <v>5135.7000000000007</v>
      </c>
    </row>
    <row r="403" spans="1:7" ht="31.5" outlineLevel="2" x14ac:dyDescent="0.25">
      <c r="A403" s="34" t="s">
        <v>20</v>
      </c>
      <c r="B403" s="19" t="s">
        <v>56</v>
      </c>
      <c r="C403" s="19" t="s">
        <v>556</v>
      </c>
      <c r="D403" s="19" t="s">
        <v>557</v>
      </c>
      <c r="E403" s="20">
        <f>4.5+262.9+4189.6</f>
        <v>4457</v>
      </c>
      <c r="F403" s="20">
        <f>296.3+4641.9</f>
        <v>4938.2</v>
      </c>
      <c r="G403" s="20">
        <f>308.1+4827.6</f>
        <v>5135.7000000000007</v>
      </c>
    </row>
    <row r="404" spans="1:7" ht="63" outlineLevel="2" x14ac:dyDescent="0.25">
      <c r="A404" s="42" t="s">
        <v>393</v>
      </c>
      <c r="B404" s="19" t="s">
        <v>56</v>
      </c>
      <c r="C404" s="19" t="s">
        <v>558</v>
      </c>
      <c r="D404" s="19"/>
      <c r="E404" s="20">
        <f>E405</f>
        <v>192273.4</v>
      </c>
      <c r="F404" s="20">
        <f t="shared" ref="F404:G404" si="148">F405</f>
        <v>203501.30000000002</v>
      </c>
      <c r="G404" s="20">
        <f t="shared" si="148"/>
        <v>214694.5</v>
      </c>
    </row>
    <row r="405" spans="1:7" outlineLevel="2" x14ac:dyDescent="0.25">
      <c r="A405" s="42" t="s">
        <v>33</v>
      </c>
      <c r="B405" s="19" t="s">
        <v>56</v>
      </c>
      <c r="C405" s="19" t="s">
        <v>558</v>
      </c>
      <c r="D405" s="19" t="s">
        <v>528</v>
      </c>
      <c r="E405" s="20">
        <f>1327.6+10208.8+180737</f>
        <v>192273.4</v>
      </c>
      <c r="F405" s="20">
        <f>12210.1+191291.2</f>
        <v>203501.30000000002</v>
      </c>
      <c r="G405" s="20">
        <f>12881.7+201812.8</f>
        <v>214694.5</v>
      </c>
    </row>
    <row r="406" spans="1:7" ht="47.25" outlineLevel="2" x14ac:dyDescent="0.25">
      <c r="A406" s="33" t="s">
        <v>383</v>
      </c>
      <c r="B406" s="31" t="s">
        <v>56</v>
      </c>
      <c r="C406" s="31" t="s">
        <v>384</v>
      </c>
      <c r="D406" s="25"/>
      <c r="E406" s="20">
        <f>E407+E409</f>
        <v>16403.100000000002</v>
      </c>
      <c r="F406" s="20">
        <f t="shared" ref="F406:G406" si="149">F407+F409</f>
        <v>17058.900000000001</v>
      </c>
      <c r="G406" s="20">
        <f t="shared" si="149"/>
        <v>17740.900000000001</v>
      </c>
    </row>
    <row r="407" spans="1:7" ht="47.25" outlineLevel="2" x14ac:dyDescent="0.25">
      <c r="A407" s="1" t="s">
        <v>396</v>
      </c>
      <c r="B407" s="24" t="s">
        <v>56</v>
      </c>
      <c r="C407" s="24" t="s">
        <v>397</v>
      </c>
      <c r="D407" s="25"/>
      <c r="E407" s="20">
        <f>E408</f>
        <v>16395.2</v>
      </c>
      <c r="F407" s="20">
        <f t="shared" ref="F407:G407" si="150">F408</f>
        <v>17051</v>
      </c>
      <c r="G407" s="20">
        <f t="shared" si="150"/>
        <v>17733</v>
      </c>
    </row>
    <row r="408" spans="1:7" outlineLevel="2" x14ac:dyDescent="0.25">
      <c r="A408" s="42" t="s">
        <v>33</v>
      </c>
      <c r="B408" s="24" t="s">
        <v>56</v>
      </c>
      <c r="C408" s="24" t="s">
        <v>397</v>
      </c>
      <c r="D408" s="25">
        <v>800</v>
      </c>
      <c r="E408" s="20">
        <v>16395.2</v>
      </c>
      <c r="F408" s="20">
        <v>17051</v>
      </c>
      <c r="G408" s="20">
        <v>17733</v>
      </c>
    </row>
    <row r="409" spans="1:7" ht="81" customHeight="1" outlineLevel="2" x14ac:dyDescent="0.25">
      <c r="A409" s="42" t="s">
        <v>743</v>
      </c>
      <c r="B409" s="24" t="s">
        <v>56</v>
      </c>
      <c r="C409" s="24" t="s">
        <v>398</v>
      </c>
      <c r="D409" s="25"/>
      <c r="E409" s="20">
        <f>E410</f>
        <v>7.9</v>
      </c>
      <c r="F409" s="20">
        <f t="shared" ref="F409:G409" si="151">F410</f>
        <v>7.9</v>
      </c>
      <c r="G409" s="20">
        <f t="shared" si="151"/>
        <v>7.9</v>
      </c>
    </row>
    <row r="410" spans="1:7" outlineLevel="2" x14ac:dyDescent="0.25">
      <c r="A410" s="42" t="s">
        <v>33</v>
      </c>
      <c r="B410" s="24" t="s">
        <v>56</v>
      </c>
      <c r="C410" s="24" t="s">
        <v>398</v>
      </c>
      <c r="D410" s="25">
        <v>800</v>
      </c>
      <c r="E410" s="20">
        <v>7.9</v>
      </c>
      <c r="F410" s="20">
        <v>7.9</v>
      </c>
      <c r="G410" s="20">
        <v>7.9</v>
      </c>
    </row>
    <row r="411" spans="1:7" outlineLevel="1" x14ac:dyDescent="0.25">
      <c r="A411" s="34" t="s">
        <v>57</v>
      </c>
      <c r="B411" s="24" t="s">
        <v>58</v>
      </c>
      <c r="D411" s="2"/>
      <c r="E411" s="20">
        <f>E412</f>
        <v>1337773.7999999998</v>
      </c>
      <c r="F411" s="20">
        <f t="shared" ref="F411:G411" si="152">F412</f>
        <v>744427.89999999991</v>
      </c>
      <c r="G411" s="20">
        <f t="shared" si="152"/>
        <v>741954.8</v>
      </c>
    </row>
    <row r="412" spans="1:7" ht="47.25" outlineLevel="2" x14ac:dyDescent="0.25">
      <c r="A412" s="33" t="s">
        <v>370</v>
      </c>
      <c r="B412" s="24" t="s">
        <v>58</v>
      </c>
      <c r="C412" s="2" t="s">
        <v>371</v>
      </c>
      <c r="D412" s="25"/>
      <c r="E412" s="20">
        <f>E421+E449+E413</f>
        <v>1337773.7999999998</v>
      </c>
      <c r="F412" s="20">
        <f t="shared" ref="F412:G412" si="153">F421+F449+F413</f>
        <v>744427.89999999991</v>
      </c>
      <c r="G412" s="20">
        <f t="shared" si="153"/>
        <v>741954.8</v>
      </c>
    </row>
    <row r="413" spans="1:7" outlineLevel="2" x14ac:dyDescent="0.25">
      <c r="A413" s="21" t="s">
        <v>228</v>
      </c>
      <c r="B413" s="19" t="s">
        <v>58</v>
      </c>
      <c r="C413" s="19" t="s">
        <v>531</v>
      </c>
      <c r="D413" s="19"/>
      <c r="E413" s="20">
        <f>E414</f>
        <v>419744.1</v>
      </c>
      <c r="F413" s="20">
        <f t="shared" ref="F413:G417" si="154">F414</f>
        <v>108975.9</v>
      </c>
      <c r="G413" s="20">
        <f t="shared" si="154"/>
        <v>104473.4</v>
      </c>
    </row>
    <row r="414" spans="1:7" ht="47.25" outlineLevel="2" x14ac:dyDescent="0.25">
      <c r="A414" s="21" t="s">
        <v>529</v>
      </c>
      <c r="B414" s="19" t="s">
        <v>58</v>
      </c>
      <c r="C414" s="19" t="s">
        <v>532</v>
      </c>
      <c r="D414" s="19"/>
      <c r="E414" s="20">
        <f>E417+E415+E419</f>
        <v>419744.1</v>
      </c>
      <c r="F414" s="20">
        <f t="shared" ref="F414:G414" si="155">F417+F415</f>
        <v>108975.9</v>
      </c>
      <c r="G414" s="20">
        <f t="shared" si="155"/>
        <v>104473.4</v>
      </c>
    </row>
    <row r="415" spans="1:7" ht="78.75" outlineLevel="2" x14ac:dyDescent="0.25">
      <c r="A415" s="30" t="s">
        <v>534</v>
      </c>
      <c r="B415" s="19" t="s">
        <v>58</v>
      </c>
      <c r="C415" s="19" t="s">
        <v>535</v>
      </c>
      <c r="D415" s="19"/>
      <c r="E415" s="20">
        <f>E416</f>
        <v>306091.2</v>
      </c>
      <c r="F415" s="20">
        <f t="shared" ref="F415:G415" si="156">F416</f>
        <v>0</v>
      </c>
      <c r="G415" s="20">
        <f t="shared" si="156"/>
        <v>0</v>
      </c>
    </row>
    <row r="416" spans="1:7" ht="47.25" outlineLevel="2" x14ac:dyDescent="0.25">
      <c r="A416" s="30" t="s">
        <v>94</v>
      </c>
      <c r="B416" s="19" t="s">
        <v>58</v>
      </c>
      <c r="C416" s="19" t="s">
        <v>535</v>
      </c>
      <c r="D416" s="19" t="s">
        <v>95</v>
      </c>
      <c r="E416" s="20">
        <f>3060.9+303030.3</f>
        <v>306091.2</v>
      </c>
      <c r="F416" s="20">
        <v>0</v>
      </c>
      <c r="G416" s="20">
        <v>0</v>
      </c>
    </row>
    <row r="417" spans="1:7" ht="31.5" outlineLevel="2" x14ac:dyDescent="0.25">
      <c r="A417" s="23" t="s">
        <v>530</v>
      </c>
      <c r="B417" s="19" t="s">
        <v>58</v>
      </c>
      <c r="C417" s="19" t="s">
        <v>533</v>
      </c>
      <c r="D417" s="19"/>
      <c r="E417" s="20">
        <f t="shared" ref="E417" si="157">E418</f>
        <v>113495.4</v>
      </c>
      <c r="F417" s="20">
        <f t="shared" si="154"/>
        <v>108975.9</v>
      </c>
      <c r="G417" s="20">
        <f t="shared" si="154"/>
        <v>104473.4</v>
      </c>
    </row>
    <row r="418" spans="1:7" ht="31.5" outlineLevel="2" x14ac:dyDescent="0.25">
      <c r="A418" s="23" t="s">
        <v>76</v>
      </c>
      <c r="B418" s="19" t="s">
        <v>58</v>
      </c>
      <c r="C418" s="19" t="s">
        <v>533</v>
      </c>
      <c r="D418" s="19" t="s">
        <v>39</v>
      </c>
      <c r="E418" s="20">
        <f>1135+112360.4</f>
        <v>113495.4</v>
      </c>
      <c r="F418" s="20">
        <f>1089.7+107886.2</f>
        <v>108975.9</v>
      </c>
      <c r="G418" s="20">
        <f>1044.7+103428.7</f>
        <v>104473.4</v>
      </c>
    </row>
    <row r="419" spans="1:7" ht="78.75" outlineLevel="2" x14ac:dyDescent="0.25">
      <c r="A419" s="30" t="s">
        <v>534</v>
      </c>
      <c r="B419" s="19" t="s">
        <v>58</v>
      </c>
      <c r="C419" s="19" t="s">
        <v>732</v>
      </c>
      <c r="D419" s="19"/>
      <c r="E419" s="20">
        <f t="shared" ref="E419:G419" si="158">E420</f>
        <v>157.5</v>
      </c>
      <c r="F419" s="20">
        <f t="shared" si="158"/>
        <v>0</v>
      </c>
      <c r="G419" s="20">
        <f t="shared" si="158"/>
        <v>0</v>
      </c>
    </row>
    <row r="420" spans="1:7" ht="47.25" outlineLevel="2" x14ac:dyDescent="0.25">
      <c r="A420" s="30" t="s">
        <v>94</v>
      </c>
      <c r="B420" s="19" t="s">
        <v>58</v>
      </c>
      <c r="C420" s="19" t="s">
        <v>732</v>
      </c>
      <c r="D420" s="19" t="s">
        <v>95</v>
      </c>
      <c r="E420" s="20">
        <v>157.5</v>
      </c>
      <c r="F420" s="20">
        <v>0</v>
      </c>
      <c r="G420" s="20">
        <v>0</v>
      </c>
    </row>
    <row r="421" spans="1:7" ht="31.5" outlineLevel="2" x14ac:dyDescent="0.25">
      <c r="A421" s="33" t="s">
        <v>155</v>
      </c>
      <c r="B421" s="31" t="s">
        <v>58</v>
      </c>
      <c r="C421" s="31" t="s">
        <v>372</v>
      </c>
      <c r="D421" s="25"/>
      <c r="E421" s="20">
        <f>E422</f>
        <v>253181.00000000003</v>
      </c>
      <c r="F421" s="20">
        <f t="shared" ref="F421:G421" si="159">F422</f>
        <v>121290.2</v>
      </c>
      <c r="G421" s="20">
        <f t="shared" si="159"/>
        <v>112766</v>
      </c>
    </row>
    <row r="422" spans="1:7" ht="63" outlineLevel="2" x14ac:dyDescent="0.25">
      <c r="A422" s="33" t="s">
        <v>373</v>
      </c>
      <c r="B422" s="24" t="s">
        <v>58</v>
      </c>
      <c r="C422" s="24" t="s">
        <v>374</v>
      </c>
      <c r="D422" s="25"/>
      <c r="E422" s="20">
        <f>E423+E427+E445+E447+E429+E431+E433+E435+E437+E425+E443+E439+E441</f>
        <v>253181.00000000003</v>
      </c>
      <c r="F422" s="20">
        <f t="shared" ref="F422:G422" si="160">F423+F427+F445+F447+F429+F431+F433+F435+F437+F425+F443+F439+F441</f>
        <v>121290.2</v>
      </c>
      <c r="G422" s="20">
        <f t="shared" si="160"/>
        <v>112766</v>
      </c>
    </row>
    <row r="423" spans="1:7" ht="47.25" outlineLevel="2" x14ac:dyDescent="0.25">
      <c r="A423" s="33" t="s">
        <v>488</v>
      </c>
      <c r="B423" s="31" t="s">
        <v>58</v>
      </c>
      <c r="C423" s="31" t="s">
        <v>406</v>
      </c>
      <c r="D423" s="31"/>
      <c r="E423" s="20">
        <f>E424</f>
        <v>12000</v>
      </c>
      <c r="F423" s="20">
        <f t="shared" ref="F423:G423" si="161">F424</f>
        <v>0</v>
      </c>
      <c r="G423" s="20">
        <f t="shared" si="161"/>
        <v>0</v>
      </c>
    </row>
    <row r="424" spans="1:7" ht="31.5" outlineLevel="2" x14ac:dyDescent="0.25">
      <c r="A424" s="33" t="s">
        <v>76</v>
      </c>
      <c r="B424" s="31" t="s">
        <v>58</v>
      </c>
      <c r="C424" s="31" t="s">
        <v>406</v>
      </c>
      <c r="D424" s="31" t="s">
        <v>39</v>
      </c>
      <c r="E424" s="20">
        <v>12000</v>
      </c>
      <c r="F424" s="20">
        <v>0</v>
      </c>
      <c r="G424" s="20">
        <v>0</v>
      </c>
    </row>
    <row r="425" spans="1:7" ht="47.25" outlineLevel="2" x14ac:dyDescent="0.25">
      <c r="A425" s="30" t="s">
        <v>728</v>
      </c>
      <c r="B425" s="19" t="s">
        <v>58</v>
      </c>
      <c r="C425" s="19" t="s">
        <v>729</v>
      </c>
      <c r="D425" s="19"/>
      <c r="E425" s="20">
        <f t="shared" ref="E425:G425" si="162">E426</f>
        <v>303</v>
      </c>
      <c r="F425" s="20">
        <f t="shared" si="162"/>
        <v>0</v>
      </c>
      <c r="G425" s="20">
        <f t="shared" si="162"/>
        <v>0</v>
      </c>
    </row>
    <row r="426" spans="1:7" ht="31.5" outlineLevel="2" x14ac:dyDescent="0.25">
      <c r="A426" s="30" t="s">
        <v>76</v>
      </c>
      <c r="B426" s="19" t="s">
        <v>58</v>
      </c>
      <c r="C426" s="19" t="s">
        <v>729</v>
      </c>
      <c r="D426" s="19" t="s">
        <v>39</v>
      </c>
      <c r="E426" s="20">
        <v>303</v>
      </c>
      <c r="F426" s="20">
        <v>0</v>
      </c>
      <c r="G426" s="20">
        <v>0</v>
      </c>
    </row>
    <row r="427" spans="1:7" outlineLevel="2" x14ac:dyDescent="0.25">
      <c r="A427" s="33" t="s">
        <v>375</v>
      </c>
      <c r="B427" s="24" t="s">
        <v>58</v>
      </c>
      <c r="C427" s="24" t="s">
        <v>376</v>
      </c>
      <c r="D427" s="2"/>
      <c r="E427" s="20">
        <f>E428</f>
        <v>38619.299999999996</v>
      </c>
      <c r="F427" s="20">
        <f t="shared" ref="F427:G427" si="163">F428</f>
        <v>0</v>
      </c>
      <c r="G427" s="20">
        <f t="shared" si="163"/>
        <v>0</v>
      </c>
    </row>
    <row r="428" spans="1:7" ht="31.5" outlineLevel="2" x14ac:dyDescent="0.25">
      <c r="A428" s="33" t="s">
        <v>76</v>
      </c>
      <c r="B428" s="24" t="s">
        <v>58</v>
      </c>
      <c r="C428" s="24" t="s">
        <v>376</v>
      </c>
      <c r="D428" s="2">
        <v>200</v>
      </c>
      <c r="E428" s="20">
        <f>29648.6+4138.2+4832.5</f>
        <v>38619.299999999996</v>
      </c>
      <c r="F428" s="20">
        <v>0</v>
      </c>
      <c r="G428" s="20">
        <v>0</v>
      </c>
    </row>
    <row r="429" spans="1:7" ht="31.5" outlineLevel="2" x14ac:dyDescent="0.25">
      <c r="A429" s="23" t="s">
        <v>607</v>
      </c>
      <c r="B429" s="19" t="s">
        <v>58</v>
      </c>
      <c r="C429" s="19" t="s">
        <v>609</v>
      </c>
      <c r="D429" s="19"/>
      <c r="E429" s="20">
        <f>E430</f>
        <v>15372.1</v>
      </c>
      <c r="F429" s="20">
        <f t="shared" ref="F429:G429" si="164">F430</f>
        <v>0</v>
      </c>
      <c r="G429" s="20">
        <f t="shared" si="164"/>
        <v>0</v>
      </c>
    </row>
    <row r="430" spans="1:7" ht="31.5" outlineLevel="2" x14ac:dyDescent="0.25">
      <c r="A430" s="23" t="s">
        <v>76</v>
      </c>
      <c r="B430" s="19" t="s">
        <v>58</v>
      </c>
      <c r="C430" s="19" t="s">
        <v>609</v>
      </c>
      <c r="D430" s="19">
        <v>200</v>
      </c>
      <c r="E430" s="20">
        <v>15372.1</v>
      </c>
      <c r="F430" s="20">
        <v>0</v>
      </c>
      <c r="G430" s="20">
        <v>0</v>
      </c>
    </row>
    <row r="431" spans="1:7" ht="47.25" outlineLevel="2" x14ac:dyDescent="0.25">
      <c r="A431" s="23" t="s">
        <v>608</v>
      </c>
      <c r="B431" s="19" t="s">
        <v>58</v>
      </c>
      <c r="C431" s="19" t="s">
        <v>610</v>
      </c>
      <c r="D431" s="19"/>
      <c r="E431" s="20">
        <f>E432</f>
        <v>2270.1</v>
      </c>
      <c r="F431" s="20">
        <f t="shared" ref="F431:G443" si="165">F432</f>
        <v>0</v>
      </c>
      <c r="G431" s="20">
        <f t="shared" si="165"/>
        <v>0</v>
      </c>
    </row>
    <row r="432" spans="1:7" ht="31.5" outlineLevel="2" x14ac:dyDescent="0.25">
      <c r="A432" s="23" t="s">
        <v>76</v>
      </c>
      <c r="B432" s="19" t="s">
        <v>58</v>
      </c>
      <c r="C432" s="19" t="s">
        <v>610</v>
      </c>
      <c r="D432" s="19">
        <v>200</v>
      </c>
      <c r="E432" s="20">
        <v>2270.1</v>
      </c>
      <c r="F432" s="20">
        <v>0</v>
      </c>
      <c r="G432" s="20">
        <v>0</v>
      </c>
    </row>
    <row r="433" spans="1:7" ht="47.25" outlineLevel="2" x14ac:dyDescent="0.25">
      <c r="A433" s="23" t="s">
        <v>720</v>
      </c>
      <c r="B433" s="19" t="s">
        <v>58</v>
      </c>
      <c r="C433" s="19" t="s">
        <v>723</v>
      </c>
      <c r="D433" s="19"/>
      <c r="E433" s="20">
        <f>E434</f>
        <v>20367.2</v>
      </c>
      <c r="F433" s="20">
        <f t="shared" si="165"/>
        <v>0</v>
      </c>
      <c r="G433" s="20">
        <f t="shared" si="165"/>
        <v>0</v>
      </c>
    </row>
    <row r="434" spans="1:7" ht="31.5" outlineLevel="2" x14ac:dyDescent="0.25">
      <c r="A434" s="23" t="s">
        <v>76</v>
      </c>
      <c r="B434" s="19" t="s">
        <v>58</v>
      </c>
      <c r="C434" s="19" t="s">
        <v>723</v>
      </c>
      <c r="D434" s="19">
        <v>200</v>
      </c>
      <c r="E434" s="20">
        <f>20201.5+165.7</f>
        <v>20367.2</v>
      </c>
      <c r="F434" s="20">
        <v>0</v>
      </c>
      <c r="G434" s="20">
        <v>0</v>
      </c>
    </row>
    <row r="435" spans="1:7" ht="31.5" outlineLevel="2" x14ac:dyDescent="0.25">
      <c r="A435" s="23" t="s">
        <v>721</v>
      </c>
      <c r="B435" s="19" t="s">
        <v>58</v>
      </c>
      <c r="C435" s="19" t="s">
        <v>724</v>
      </c>
      <c r="D435" s="19"/>
      <c r="E435" s="20">
        <f t="shared" ref="E435" si="166">E436</f>
        <v>476.7</v>
      </c>
      <c r="F435" s="20">
        <f t="shared" si="165"/>
        <v>0</v>
      </c>
      <c r="G435" s="20">
        <f t="shared" si="165"/>
        <v>0</v>
      </c>
    </row>
    <row r="436" spans="1:7" ht="31.5" outlineLevel="2" x14ac:dyDescent="0.25">
      <c r="A436" s="23" t="s">
        <v>76</v>
      </c>
      <c r="B436" s="19" t="s">
        <v>58</v>
      </c>
      <c r="C436" s="19" t="s">
        <v>724</v>
      </c>
      <c r="D436" s="19" t="s">
        <v>39</v>
      </c>
      <c r="E436" s="20">
        <v>476.7</v>
      </c>
      <c r="F436" s="20">
        <v>0</v>
      </c>
      <c r="G436" s="20">
        <v>0</v>
      </c>
    </row>
    <row r="437" spans="1:7" ht="31.5" outlineLevel="2" x14ac:dyDescent="0.25">
      <c r="A437" s="23" t="s">
        <v>722</v>
      </c>
      <c r="B437" s="19" t="s">
        <v>58</v>
      </c>
      <c r="C437" s="19" t="s">
        <v>725</v>
      </c>
      <c r="D437" s="19"/>
      <c r="E437" s="20">
        <f t="shared" ref="E437" si="167">E438</f>
        <v>6815.5</v>
      </c>
      <c r="F437" s="20">
        <f t="shared" si="165"/>
        <v>0</v>
      </c>
      <c r="G437" s="20">
        <f t="shared" si="165"/>
        <v>0</v>
      </c>
    </row>
    <row r="438" spans="1:7" ht="31.5" outlineLevel="2" x14ac:dyDescent="0.25">
      <c r="A438" s="23" t="s">
        <v>76</v>
      </c>
      <c r="B438" s="19" t="s">
        <v>58</v>
      </c>
      <c r="C438" s="19" t="s">
        <v>725</v>
      </c>
      <c r="D438" s="19" t="s">
        <v>39</v>
      </c>
      <c r="E438" s="20">
        <v>6815.5</v>
      </c>
      <c r="F438" s="20">
        <v>0</v>
      </c>
      <c r="G438" s="20">
        <v>0</v>
      </c>
    </row>
    <row r="439" spans="1:7" ht="47.25" outlineLevel="2" x14ac:dyDescent="0.25">
      <c r="A439" s="23" t="s">
        <v>760</v>
      </c>
      <c r="B439" s="19" t="s">
        <v>58</v>
      </c>
      <c r="C439" s="19" t="s">
        <v>761</v>
      </c>
      <c r="D439" s="19"/>
      <c r="E439" s="20">
        <f>E440</f>
        <v>435.8</v>
      </c>
      <c r="F439" s="20">
        <f t="shared" ref="F439:G439" si="168">F440</f>
        <v>0</v>
      </c>
      <c r="G439" s="20">
        <f t="shared" si="168"/>
        <v>0</v>
      </c>
    </row>
    <row r="440" spans="1:7" ht="31.5" outlineLevel="2" x14ac:dyDescent="0.25">
      <c r="A440" s="23" t="s">
        <v>76</v>
      </c>
      <c r="B440" s="19" t="s">
        <v>58</v>
      </c>
      <c r="C440" s="19" t="s">
        <v>761</v>
      </c>
      <c r="D440" s="19" t="s">
        <v>39</v>
      </c>
      <c r="E440" s="20">
        <v>435.8</v>
      </c>
      <c r="F440" s="20">
        <v>0</v>
      </c>
      <c r="G440" s="20">
        <v>0</v>
      </c>
    </row>
    <row r="441" spans="1:7" ht="47.25" outlineLevel="2" x14ac:dyDescent="0.25">
      <c r="A441" s="23" t="s">
        <v>766</v>
      </c>
      <c r="B441" s="19" t="s">
        <v>58</v>
      </c>
      <c r="C441" s="19" t="s">
        <v>767</v>
      </c>
      <c r="D441" s="19"/>
      <c r="E441" s="20">
        <f>E442</f>
        <v>2572.1</v>
      </c>
      <c r="F441" s="20">
        <f t="shared" ref="F441:G441" si="169">F442</f>
        <v>0</v>
      </c>
      <c r="G441" s="20">
        <f t="shared" si="169"/>
        <v>0</v>
      </c>
    </row>
    <row r="442" spans="1:7" ht="31.5" outlineLevel="2" x14ac:dyDescent="0.25">
      <c r="A442" s="23" t="s">
        <v>76</v>
      </c>
      <c r="B442" s="19" t="s">
        <v>58</v>
      </c>
      <c r="C442" s="19" t="s">
        <v>767</v>
      </c>
      <c r="D442" s="19" t="s">
        <v>39</v>
      </c>
      <c r="E442" s="20">
        <v>2572.1</v>
      </c>
      <c r="F442" s="20">
        <v>0</v>
      </c>
      <c r="G442" s="20">
        <v>0</v>
      </c>
    </row>
    <row r="443" spans="1:7" ht="94.5" outlineLevel="2" x14ac:dyDescent="0.25">
      <c r="A443" s="21" t="s">
        <v>706</v>
      </c>
      <c r="B443" s="19" t="s">
        <v>58</v>
      </c>
      <c r="C443" s="19" t="s">
        <v>733</v>
      </c>
      <c r="D443" s="19"/>
      <c r="E443" s="20">
        <f t="shared" ref="E443" si="170">E444</f>
        <v>9000</v>
      </c>
      <c r="F443" s="20">
        <f t="shared" si="165"/>
        <v>0</v>
      </c>
      <c r="G443" s="20">
        <f t="shared" si="165"/>
        <v>0</v>
      </c>
    </row>
    <row r="444" spans="1:7" ht="47.25" outlineLevel="2" x14ac:dyDescent="0.25">
      <c r="A444" s="18" t="s">
        <v>94</v>
      </c>
      <c r="B444" s="19" t="s">
        <v>58</v>
      </c>
      <c r="C444" s="19" t="s">
        <v>733</v>
      </c>
      <c r="D444" s="19" t="s">
        <v>95</v>
      </c>
      <c r="E444" s="20">
        <v>9000</v>
      </c>
      <c r="F444" s="20">
        <v>0</v>
      </c>
      <c r="G444" s="20">
        <v>0</v>
      </c>
    </row>
    <row r="445" spans="1:7" ht="94.5" outlineLevel="2" x14ac:dyDescent="0.25">
      <c r="A445" s="30" t="s">
        <v>536</v>
      </c>
      <c r="B445" s="19" t="s">
        <v>58</v>
      </c>
      <c r="C445" s="19" t="s">
        <v>538</v>
      </c>
      <c r="D445" s="19"/>
      <c r="E445" s="20">
        <f>E446</f>
        <v>16116.699999999999</v>
      </c>
      <c r="F445" s="20">
        <f t="shared" ref="F445:G445" si="171">F446</f>
        <v>8524.1999999999989</v>
      </c>
      <c r="G445" s="20">
        <f t="shared" si="171"/>
        <v>0</v>
      </c>
    </row>
    <row r="446" spans="1:7" ht="31.5" outlineLevel="2" x14ac:dyDescent="0.25">
      <c r="A446" s="30" t="s">
        <v>76</v>
      </c>
      <c r="B446" s="19" t="s">
        <v>58</v>
      </c>
      <c r="C446" s="19" t="s">
        <v>538</v>
      </c>
      <c r="D446" s="19" t="s">
        <v>39</v>
      </c>
      <c r="E446" s="20">
        <f>464.2+7272.7-303+8682.8</f>
        <v>16116.699999999999</v>
      </c>
      <c r="F446" s="20">
        <f>464.2+7272.7+787.3</f>
        <v>8524.1999999999989</v>
      </c>
      <c r="G446" s="20">
        <v>0</v>
      </c>
    </row>
    <row r="447" spans="1:7" ht="31.5" outlineLevel="2" x14ac:dyDescent="0.25">
      <c r="A447" s="30" t="s">
        <v>537</v>
      </c>
      <c r="B447" s="19" t="s">
        <v>58</v>
      </c>
      <c r="C447" s="19" t="s">
        <v>539</v>
      </c>
      <c r="D447" s="19"/>
      <c r="E447" s="20">
        <f>E448</f>
        <v>128832.5</v>
      </c>
      <c r="F447" s="20">
        <f t="shared" ref="F447:G447" si="172">F448</f>
        <v>112766</v>
      </c>
      <c r="G447" s="20">
        <f t="shared" si="172"/>
        <v>112766</v>
      </c>
    </row>
    <row r="448" spans="1:7" ht="31.5" outlineLevel="2" x14ac:dyDescent="0.25">
      <c r="A448" s="30" t="s">
        <v>76</v>
      </c>
      <c r="B448" s="19" t="s">
        <v>58</v>
      </c>
      <c r="C448" s="19" t="s">
        <v>539</v>
      </c>
      <c r="D448" s="19" t="s">
        <v>39</v>
      </c>
      <c r="E448" s="20">
        <f>6766+106000+8435.2+7200+431.3</f>
        <v>128832.5</v>
      </c>
      <c r="F448" s="20">
        <f>1276.6+20000+5489.4+86000</f>
        <v>112766</v>
      </c>
      <c r="G448" s="20">
        <f>1276.6+20000+5489.4+86000</f>
        <v>112766</v>
      </c>
    </row>
    <row r="449" spans="1:7" outlineLevel="2" x14ac:dyDescent="0.25">
      <c r="A449" s="33" t="s">
        <v>144</v>
      </c>
      <c r="B449" s="31" t="s">
        <v>58</v>
      </c>
      <c r="C449" s="31" t="s">
        <v>407</v>
      </c>
      <c r="D449" s="25"/>
      <c r="E449" s="20">
        <f>E450</f>
        <v>664848.69999999995</v>
      </c>
      <c r="F449" s="20">
        <f t="shared" ref="F449:G449" si="173">F450</f>
        <v>514161.79999999993</v>
      </c>
      <c r="G449" s="20">
        <f t="shared" si="173"/>
        <v>524715.4</v>
      </c>
    </row>
    <row r="450" spans="1:7" ht="47.25" outlineLevel="2" x14ac:dyDescent="0.25">
      <c r="A450" s="33" t="s">
        <v>408</v>
      </c>
      <c r="B450" s="31" t="s">
        <v>58</v>
      </c>
      <c r="C450" s="31" t="s">
        <v>409</v>
      </c>
      <c r="D450" s="25"/>
      <c r="E450" s="20">
        <f>E451+E455+E453+E458+E460+E462+E464+E466+E468+E470+E472+E478+E480+E486+E474+E482+E476+E484</f>
        <v>664848.69999999995</v>
      </c>
      <c r="F450" s="20">
        <f t="shared" ref="F450:G450" si="174">F451+F455+F453+F458+F460+F462+F464+F466+F468+F470+F472+F478+F480+F486+F474+F482+F476+F484</f>
        <v>514161.79999999993</v>
      </c>
      <c r="G450" s="20">
        <f t="shared" si="174"/>
        <v>524715.4</v>
      </c>
    </row>
    <row r="451" spans="1:7" ht="31.5" outlineLevel="2" x14ac:dyDescent="0.25">
      <c r="A451" s="30" t="s">
        <v>410</v>
      </c>
      <c r="B451" s="31" t="s">
        <v>58</v>
      </c>
      <c r="C451" s="24" t="s">
        <v>411</v>
      </c>
      <c r="D451" s="25"/>
      <c r="E451" s="20">
        <f>E452</f>
        <v>20010.099999999999</v>
      </c>
      <c r="F451" s="20">
        <f t="shared" ref="F451:G451" si="175">F452</f>
        <v>2010.1</v>
      </c>
      <c r="G451" s="20">
        <f t="shared" si="175"/>
        <v>2010.1</v>
      </c>
    </row>
    <row r="452" spans="1:7" ht="31.5" outlineLevel="2" x14ac:dyDescent="0.25">
      <c r="A452" s="21" t="s">
        <v>76</v>
      </c>
      <c r="B452" s="31" t="s">
        <v>58</v>
      </c>
      <c r="C452" s="24" t="s">
        <v>411</v>
      </c>
      <c r="D452" s="25">
        <v>200</v>
      </c>
      <c r="E452" s="20">
        <f>2010.1+8000+10000</f>
        <v>20010.099999999999</v>
      </c>
      <c r="F452" s="20">
        <v>2010.1</v>
      </c>
      <c r="G452" s="20">
        <v>2010.1</v>
      </c>
    </row>
    <row r="453" spans="1:7" ht="36" customHeight="1" outlineLevel="2" x14ac:dyDescent="0.25">
      <c r="A453" s="21" t="s">
        <v>511</v>
      </c>
      <c r="B453" s="31" t="s">
        <v>58</v>
      </c>
      <c r="C453" s="24" t="s">
        <v>412</v>
      </c>
      <c r="D453" s="25"/>
      <c r="E453" s="20">
        <f>E454</f>
        <v>25068.400000000001</v>
      </c>
      <c r="F453" s="20">
        <f t="shared" ref="F453:G453" si="176">F454</f>
        <v>0</v>
      </c>
      <c r="G453" s="20">
        <f t="shared" si="176"/>
        <v>0</v>
      </c>
    </row>
    <row r="454" spans="1:7" ht="31.5" outlineLevel="2" x14ac:dyDescent="0.25">
      <c r="A454" s="21" t="s">
        <v>76</v>
      </c>
      <c r="B454" s="24" t="s">
        <v>58</v>
      </c>
      <c r="C454" s="24" t="s">
        <v>412</v>
      </c>
      <c r="D454" s="25">
        <v>200</v>
      </c>
      <c r="E454" s="20">
        <f>21000+350-4799.8+7360+1158.2</f>
        <v>25068.400000000001</v>
      </c>
      <c r="F454" s="20">
        <v>0</v>
      </c>
      <c r="G454" s="20">
        <v>0</v>
      </c>
    </row>
    <row r="455" spans="1:7" ht="31.5" outlineLevel="2" x14ac:dyDescent="0.25">
      <c r="A455" s="21" t="s">
        <v>413</v>
      </c>
      <c r="B455" s="24" t="s">
        <v>58</v>
      </c>
      <c r="C455" s="19" t="s">
        <v>414</v>
      </c>
      <c r="D455" s="10"/>
      <c r="E455" s="20">
        <f>E457+E456</f>
        <v>118187.2</v>
      </c>
      <c r="F455" s="20">
        <f t="shared" ref="F455:G455" si="177">F457+F456</f>
        <v>21988</v>
      </c>
      <c r="G455" s="20">
        <f t="shared" si="177"/>
        <v>21988</v>
      </c>
    </row>
    <row r="456" spans="1:7" ht="31.5" outlineLevel="2" x14ac:dyDescent="0.25">
      <c r="A456" s="30" t="s">
        <v>76</v>
      </c>
      <c r="B456" s="19" t="s">
        <v>58</v>
      </c>
      <c r="C456" s="19" t="s">
        <v>414</v>
      </c>
      <c r="D456" s="19" t="s">
        <v>39</v>
      </c>
      <c r="E456" s="20">
        <f>96199.2-30471.7</f>
        <v>65727.5</v>
      </c>
      <c r="F456" s="20">
        <v>0</v>
      </c>
      <c r="G456" s="20">
        <v>0</v>
      </c>
    </row>
    <row r="457" spans="1:7" ht="47.25" outlineLevel="2" x14ac:dyDescent="0.25">
      <c r="A457" s="21" t="s">
        <v>94</v>
      </c>
      <c r="B457" s="24" t="s">
        <v>58</v>
      </c>
      <c r="C457" s="19" t="s">
        <v>414</v>
      </c>
      <c r="D457" s="10">
        <v>600</v>
      </c>
      <c r="E457" s="20">
        <f>21988+30471.7</f>
        <v>52459.7</v>
      </c>
      <c r="F457" s="20">
        <v>21988</v>
      </c>
      <c r="G457" s="20">
        <v>21988</v>
      </c>
    </row>
    <row r="458" spans="1:7" ht="31.5" outlineLevel="2" x14ac:dyDescent="0.25">
      <c r="A458" s="48" t="s">
        <v>415</v>
      </c>
      <c r="B458" s="24" t="s">
        <v>58</v>
      </c>
      <c r="C458" s="24" t="s">
        <v>416</v>
      </c>
      <c r="D458" s="25"/>
      <c r="E458" s="20">
        <f>E459</f>
        <v>332.5</v>
      </c>
      <c r="F458" s="20">
        <f t="shared" ref="F458:G458" si="178">F459</f>
        <v>350</v>
      </c>
      <c r="G458" s="20">
        <f t="shared" si="178"/>
        <v>350</v>
      </c>
    </row>
    <row r="459" spans="1:7" ht="31.5" outlineLevel="2" x14ac:dyDescent="0.25">
      <c r="A459" s="21" t="s">
        <v>76</v>
      </c>
      <c r="B459" s="24" t="s">
        <v>58</v>
      </c>
      <c r="C459" s="24" t="s">
        <v>416</v>
      </c>
      <c r="D459" s="25">
        <v>200</v>
      </c>
      <c r="E459" s="20">
        <f>350-17.5</f>
        <v>332.5</v>
      </c>
      <c r="F459" s="20">
        <v>350</v>
      </c>
      <c r="G459" s="20">
        <v>350</v>
      </c>
    </row>
    <row r="460" spans="1:7" ht="31.5" outlineLevel="2" x14ac:dyDescent="0.25">
      <c r="A460" s="33" t="s">
        <v>417</v>
      </c>
      <c r="B460" s="24" t="s">
        <v>58</v>
      </c>
      <c r="C460" s="24" t="s">
        <v>418</v>
      </c>
      <c r="D460" s="25"/>
      <c r="E460" s="20">
        <f>E461</f>
        <v>249</v>
      </c>
      <c r="F460" s="20">
        <f t="shared" ref="F460:G460" si="179">F461</f>
        <v>312</v>
      </c>
      <c r="G460" s="20">
        <f t="shared" si="179"/>
        <v>324.5</v>
      </c>
    </row>
    <row r="461" spans="1:7" ht="31.5" outlineLevel="2" x14ac:dyDescent="0.25">
      <c r="A461" s="21" t="s">
        <v>76</v>
      </c>
      <c r="B461" s="24" t="s">
        <v>58</v>
      </c>
      <c r="C461" s="24" t="s">
        <v>418</v>
      </c>
      <c r="D461" s="25">
        <v>200</v>
      </c>
      <c r="E461" s="20">
        <f>300-51</f>
        <v>249</v>
      </c>
      <c r="F461" s="20">
        <v>312</v>
      </c>
      <c r="G461" s="20">
        <v>324.5</v>
      </c>
    </row>
    <row r="462" spans="1:7" ht="47.25" outlineLevel="2" x14ac:dyDescent="0.25">
      <c r="A462" s="33" t="s">
        <v>419</v>
      </c>
      <c r="B462" s="24" t="s">
        <v>58</v>
      </c>
      <c r="C462" s="24" t="s">
        <v>420</v>
      </c>
      <c r="D462" s="25"/>
      <c r="E462" s="20">
        <f>E463</f>
        <v>30000</v>
      </c>
      <c r="F462" s="20">
        <f t="shared" ref="F462:G462" si="180">F463</f>
        <v>31200</v>
      </c>
      <c r="G462" s="20">
        <f t="shared" si="180"/>
        <v>32448</v>
      </c>
    </row>
    <row r="463" spans="1:7" ht="31.5" outlineLevel="2" x14ac:dyDescent="0.25">
      <c r="A463" s="21" t="s">
        <v>76</v>
      </c>
      <c r="B463" s="24" t="s">
        <v>58</v>
      </c>
      <c r="C463" s="24" t="s">
        <v>420</v>
      </c>
      <c r="D463" s="25">
        <v>200</v>
      </c>
      <c r="E463" s="20">
        <v>30000</v>
      </c>
      <c r="F463" s="20">
        <v>31200</v>
      </c>
      <c r="G463" s="20">
        <v>32448</v>
      </c>
    </row>
    <row r="464" spans="1:7" ht="47.25" outlineLevel="2" x14ac:dyDescent="0.25">
      <c r="A464" s="33" t="s">
        <v>421</v>
      </c>
      <c r="B464" s="24" t="s">
        <v>58</v>
      </c>
      <c r="C464" s="24" t="s">
        <v>422</v>
      </c>
      <c r="D464" s="25"/>
      <c r="E464" s="20">
        <f>E465</f>
        <v>1641.2</v>
      </c>
      <c r="F464" s="20">
        <f t="shared" ref="F464:G464" si="181">F465</f>
        <v>187.2</v>
      </c>
      <c r="G464" s="20">
        <f t="shared" si="181"/>
        <v>194.7</v>
      </c>
    </row>
    <row r="465" spans="1:7" ht="31.5" outlineLevel="2" x14ac:dyDescent="0.25">
      <c r="A465" s="21" t="s">
        <v>76</v>
      </c>
      <c r="B465" s="24" t="s">
        <v>58</v>
      </c>
      <c r="C465" s="24" t="s">
        <v>422</v>
      </c>
      <c r="D465" s="25">
        <v>200</v>
      </c>
      <c r="E465" s="20">
        <f>180+158.7+1246.3+56.2</f>
        <v>1641.2</v>
      </c>
      <c r="F465" s="20">
        <v>187.2</v>
      </c>
      <c r="G465" s="20">
        <v>194.7</v>
      </c>
    </row>
    <row r="466" spans="1:7" ht="47.25" outlineLevel="2" x14ac:dyDescent="0.25">
      <c r="A466" s="33" t="s">
        <v>423</v>
      </c>
      <c r="B466" s="24" t="s">
        <v>58</v>
      </c>
      <c r="C466" s="24" t="s">
        <v>424</v>
      </c>
      <c r="D466" s="25"/>
      <c r="E466" s="20">
        <f>E467</f>
        <v>3000</v>
      </c>
      <c r="F466" s="20">
        <f t="shared" ref="F466:G466" si="182">F467</f>
        <v>3000</v>
      </c>
      <c r="G466" s="20">
        <f t="shared" si="182"/>
        <v>3000</v>
      </c>
    </row>
    <row r="467" spans="1:7" ht="31.5" outlineLevel="2" x14ac:dyDescent="0.25">
      <c r="A467" s="21" t="s">
        <v>76</v>
      </c>
      <c r="B467" s="24" t="s">
        <v>58</v>
      </c>
      <c r="C467" s="24" t="s">
        <v>424</v>
      </c>
      <c r="D467" s="25">
        <v>200</v>
      </c>
      <c r="E467" s="20">
        <v>3000</v>
      </c>
      <c r="F467" s="20">
        <v>3000</v>
      </c>
      <c r="G467" s="20">
        <v>3000</v>
      </c>
    </row>
    <row r="468" spans="1:7" ht="31.5" outlineLevel="2" x14ac:dyDescent="0.25">
      <c r="A468" s="33" t="s">
        <v>425</v>
      </c>
      <c r="B468" s="24" t="s">
        <v>58</v>
      </c>
      <c r="C468" s="24" t="s">
        <v>426</v>
      </c>
      <c r="D468" s="25"/>
      <c r="E468" s="20">
        <f>E469</f>
        <v>88</v>
      </c>
      <c r="F468" s="20">
        <f t="shared" ref="F468:G468" si="183">F469</f>
        <v>0</v>
      </c>
      <c r="G468" s="20">
        <f t="shared" si="183"/>
        <v>0</v>
      </c>
    </row>
    <row r="469" spans="1:7" ht="31.5" outlineLevel="2" x14ac:dyDescent="0.25">
      <c r="A469" s="21" t="s">
        <v>76</v>
      </c>
      <c r="B469" s="24" t="s">
        <v>58</v>
      </c>
      <c r="C469" s="24" t="s">
        <v>426</v>
      </c>
      <c r="D469" s="25">
        <v>200</v>
      </c>
      <c r="E469" s="20">
        <v>88</v>
      </c>
      <c r="F469" s="20">
        <v>0</v>
      </c>
      <c r="G469" s="20">
        <v>0</v>
      </c>
    </row>
    <row r="470" spans="1:7" ht="31.5" outlineLevel="2" x14ac:dyDescent="0.25">
      <c r="A470" s="33" t="s">
        <v>427</v>
      </c>
      <c r="B470" s="24" t="s">
        <v>58</v>
      </c>
      <c r="C470" s="24" t="s">
        <v>428</v>
      </c>
      <c r="D470" s="25"/>
      <c r="E470" s="20">
        <f>E471</f>
        <v>100</v>
      </c>
      <c r="F470" s="20">
        <f t="shared" ref="F470:G470" si="184">F471</f>
        <v>110</v>
      </c>
      <c r="G470" s="20">
        <f t="shared" si="184"/>
        <v>110</v>
      </c>
    </row>
    <row r="471" spans="1:7" ht="31.5" outlineLevel="2" x14ac:dyDescent="0.25">
      <c r="A471" s="21" t="s">
        <v>76</v>
      </c>
      <c r="B471" s="24" t="s">
        <v>58</v>
      </c>
      <c r="C471" s="24" t="s">
        <v>428</v>
      </c>
      <c r="D471" s="25">
        <v>200</v>
      </c>
      <c r="E471" s="20">
        <v>100</v>
      </c>
      <c r="F471" s="20">
        <v>110</v>
      </c>
      <c r="G471" s="20">
        <v>110</v>
      </c>
    </row>
    <row r="472" spans="1:7" ht="31.5" outlineLevel="2" x14ac:dyDescent="0.25">
      <c r="A472" s="33" t="s">
        <v>525</v>
      </c>
      <c r="B472" s="24" t="s">
        <v>58</v>
      </c>
      <c r="C472" s="24" t="s">
        <v>429</v>
      </c>
      <c r="D472" s="25"/>
      <c r="E472" s="20">
        <f>E473</f>
        <v>370</v>
      </c>
      <c r="F472" s="20">
        <f t="shared" ref="F472:G474" si="185">F473</f>
        <v>0</v>
      </c>
      <c r="G472" s="20">
        <f t="shared" si="185"/>
        <v>0</v>
      </c>
    </row>
    <row r="473" spans="1:7" ht="31.5" outlineLevel="2" x14ac:dyDescent="0.25">
      <c r="A473" s="21" t="s">
        <v>76</v>
      </c>
      <c r="B473" s="24" t="s">
        <v>58</v>
      </c>
      <c r="C473" s="24" t="s">
        <v>429</v>
      </c>
      <c r="D473" s="25">
        <v>200</v>
      </c>
      <c r="E473" s="20">
        <v>370</v>
      </c>
      <c r="F473" s="20">
        <v>0</v>
      </c>
      <c r="G473" s="20">
        <v>0</v>
      </c>
    </row>
    <row r="474" spans="1:7" ht="31.5" outlineLevel="2" x14ac:dyDescent="0.25">
      <c r="A474" s="21" t="s">
        <v>726</v>
      </c>
      <c r="B474" s="19" t="s">
        <v>58</v>
      </c>
      <c r="C474" s="19" t="s">
        <v>727</v>
      </c>
      <c r="D474" s="19"/>
      <c r="E474" s="20">
        <f t="shared" ref="E474" si="186">E475</f>
        <v>1846.7</v>
      </c>
      <c r="F474" s="20">
        <f t="shared" si="185"/>
        <v>0</v>
      </c>
      <c r="G474" s="20">
        <f t="shared" si="185"/>
        <v>0</v>
      </c>
    </row>
    <row r="475" spans="1:7" ht="31.5" outlineLevel="2" x14ac:dyDescent="0.25">
      <c r="A475" s="21" t="s">
        <v>76</v>
      </c>
      <c r="B475" s="19" t="s">
        <v>58</v>
      </c>
      <c r="C475" s="19" t="s">
        <v>727</v>
      </c>
      <c r="D475" s="19" t="s">
        <v>39</v>
      </c>
      <c r="E475" s="20">
        <v>1846.7</v>
      </c>
      <c r="F475" s="20">
        <v>0</v>
      </c>
      <c r="G475" s="20">
        <v>0</v>
      </c>
    </row>
    <row r="476" spans="1:7" ht="31.5" outlineLevel="2" x14ac:dyDescent="0.25">
      <c r="A476" s="21" t="s">
        <v>762</v>
      </c>
      <c r="B476" s="19" t="s">
        <v>58</v>
      </c>
      <c r="C476" s="19" t="s">
        <v>763</v>
      </c>
      <c r="D476" s="19"/>
      <c r="E476" s="20">
        <f>E477</f>
        <v>1020</v>
      </c>
      <c r="F476" s="20">
        <f t="shared" ref="F476:G476" si="187">F477</f>
        <v>0</v>
      </c>
      <c r="G476" s="20">
        <f t="shared" si="187"/>
        <v>0</v>
      </c>
    </row>
    <row r="477" spans="1:7" ht="31.5" outlineLevel="2" x14ac:dyDescent="0.25">
      <c r="A477" s="18" t="s">
        <v>20</v>
      </c>
      <c r="B477" s="19" t="s">
        <v>58</v>
      </c>
      <c r="C477" s="19" t="s">
        <v>763</v>
      </c>
      <c r="D477" s="19" t="s">
        <v>557</v>
      </c>
      <c r="E477" s="20">
        <v>1020</v>
      </c>
      <c r="F477" s="20">
        <v>0</v>
      </c>
      <c r="G477" s="20">
        <v>0</v>
      </c>
    </row>
    <row r="478" spans="1:7" ht="63" outlineLevel="2" x14ac:dyDescent="0.25">
      <c r="A478" s="1" t="s">
        <v>430</v>
      </c>
      <c r="B478" s="24" t="s">
        <v>58</v>
      </c>
      <c r="C478" s="24" t="s">
        <v>431</v>
      </c>
      <c r="D478" s="25"/>
      <c r="E478" s="20">
        <f>E479</f>
        <v>190462.3</v>
      </c>
      <c r="F478" s="20">
        <f t="shared" ref="F478:G478" si="188">F479</f>
        <v>180401.3</v>
      </c>
      <c r="G478" s="20">
        <f t="shared" si="188"/>
        <v>180708.8</v>
      </c>
    </row>
    <row r="479" spans="1:7" ht="47.25" outlineLevel="2" x14ac:dyDescent="0.25">
      <c r="A479" s="21" t="s">
        <v>94</v>
      </c>
      <c r="B479" s="24" t="s">
        <v>58</v>
      </c>
      <c r="C479" s="24" t="s">
        <v>431</v>
      </c>
      <c r="D479" s="25">
        <v>600</v>
      </c>
      <c r="E479" s="20">
        <f>172666.9+16381.6+1413.8</f>
        <v>190462.3</v>
      </c>
      <c r="F479" s="20">
        <f>172666.9+7734.4</f>
        <v>180401.3</v>
      </c>
      <c r="G479" s="20">
        <f>172666.9+8041.9</f>
        <v>180708.8</v>
      </c>
    </row>
    <row r="480" spans="1:7" outlineLevel="2" x14ac:dyDescent="0.25">
      <c r="A480" s="21" t="s">
        <v>432</v>
      </c>
      <c r="B480" s="24" t="s">
        <v>58</v>
      </c>
      <c r="C480" s="24" t="s">
        <v>433</v>
      </c>
      <c r="D480" s="25"/>
      <c r="E480" s="20">
        <f>E481</f>
        <v>6177.6</v>
      </c>
      <c r="F480" s="20">
        <f t="shared" ref="F480:G480" si="189">F481</f>
        <v>5367.9</v>
      </c>
      <c r="G480" s="20">
        <f t="shared" si="189"/>
        <v>5367.9</v>
      </c>
    </row>
    <row r="481" spans="1:7" ht="47.25" outlineLevel="2" x14ac:dyDescent="0.25">
      <c r="A481" s="21" t="s">
        <v>94</v>
      </c>
      <c r="B481" s="24" t="s">
        <v>58</v>
      </c>
      <c r="C481" s="24" t="s">
        <v>433</v>
      </c>
      <c r="D481" s="25">
        <v>600</v>
      </c>
      <c r="E481" s="20">
        <f>5367.9+3381.8-2572.1</f>
        <v>6177.6</v>
      </c>
      <c r="F481" s="20">
        <v>5367.9</v>
      </c>
      <c r="G481" s="20">
        <v>5367.9</v>
      </c>
    </row>
    <row r="482" spans="1:7" ht="63" outlineLevel="2" x14ac:dyDescent="0.25">
      <c r="A482" s="21" t="s">
        <v>730</v>
      </c>
      <c r="B482" s="19" t="s">
        <v>58</v>
      </c>
      <c r="C482" s="19" t="s">
        <v>731</v>
      </c>
      <c r="D482" s="19"/>
      <c r="E482" s="20">
        <f t="shared" ref="E482:G482" si="190">E483</f>
        <v>9796.2999999999993</v>
      </c>
      <c r="F482" s="20">
        <f t="shared" si="190"/>
        <v>0</v>
      </c>
      <c r="G482" s="20">
        <f t="shared" si="190"/>
        <v>0</v>
      </c>
    </row>
    <row r="483" spans="1:7" ht="47.25" outlineLevel="2" x14ac:dyDescent="0.25">
      <c r="A483" s="21" t="s">
        <v>94</v>
      </c>
      <c r="B483" s="19" t="s">
        <v>58</v>
      </c>
      <c r="C483" s="19" t="s">
        <v>731</v>
      </c>
      <c r="D483" s="19" t="s">
        <v>95</v>
      </c>
      <c r="E483" s="20">
        <v>9796.2999999999993</v>
      </c>
      <c r="F483" s="20">
        <v>0</v>
      </c>
      <c r="G483" s="20">
        <v>0</v>
      </c>
    </row>
    <row r="484" spans="1:7" ht="31.5" outlineLevel="2" x14ac:dyDescent="0.25">
      <c r="A484" s="21" t="s">
        <v>776</v>
      </c>
      <c r="B484" s="19" t="s">
        <v>58</v>
      </c>
      <c r="C484" s="19" t="s">
        <v>777</v>
      </c>
      <c r="D484" s="19"/>
      <c r="E484" s="20">
        <f>E485</f>
        <v>68.5</v>
      </c>
      <c r="F484" s="20">
        <f t="shared" ref="F484:G484" si="191">F485</f>
        <v>0</v>
      </c>
      <c r="G484" s="20">
        <f t="shared" si="191"/>
        <v>0</v>
      </c>
    </row>
    <row r="485" spans="1:7" ht="31.5" outlineLevel="2" x14ac:dyDescent="0.25">
      <c r="A485" s="21" t="s">
        <v>76</v>
      </c>
      <c r="B485" s="19" t="s">
        <v>58</v>
      </c>
      <c r="C485" s="19" t="s">
        <v>777</v>
      </c>
      <c r="D485" s="19" t="s">
        <v>39</v>
      </c>
      <c r="E485" s="20">
        <v>68.5</v>
      </c>
      <c r="F485" s="20">
        <v>0</v>
      </c>
      <c r="G485" s="20">
        <v>0</v>
      </c>
    </row>
    <row r="486" spans="1:7" ht="78.75" outlineLevel="2" x14ac:dyDescent="0.25">
      <c r="A486" s="1" t="s">
        <v>434</v>
      </c>
      <c r="B486" s="24" t="s">
        <v>58</v>
      </c>
      <c r="C486" s="24" t="s">
        <v>435</v>
      </c>
      <c r="D486" s="25"/>
      <c r="E486" s="20">
        <f>E487</f>
        <v>256430.9</v>
      </c>
      <c r="F486" s="20">
        <f>F487</f>
        <v>269235.3</v>
      </c>
      <c r="G486" s="20">
        <f>G487</f>
        <v>278213.40000000002</v>
      </c>
    </row>
    <row r="487" spans="1:7" outlineLevel="2" x14ac:dyDescent="0.25">
      <c r="A487" s="42" t="s">
        <v>33</v>
      </c>
      <c r="B487" s="24" t="s">
        <v>58</v>
      </c>
      <c r="C487" s="24" t="s">
        <v>435</v>
      </c>
      <c r="D487" s="25">
        <v>800</v>
      </c>
      <c r="E487" s="20">
        <f>256430.9-15200+15200</f>
        <v>256430.9</v>
      </c>
      <c r="F487" s="20">
        <v>269235.3</v>
      </c>
      <c r="G487" s="20">
        <v>278213.40000000002</v>
      </c>
    </row>
    <row r="488" spans="1:7" ht="31.5" outlineLevel="1" x14ac:dyDescent="0.25">
      <c r="A488" s="23" t="s">
        <v>88</v>
      </c>
      <c r="B488" s="19" t="s">
        <v>89</v>
      </c>
      <c r="C488" s="19"/>
      <c r="D488" s="10"/>
      <c r="E488" s="20">
        <f>E489+E494+E502</f>
        <v>260613.7</v>
      </c>
      <c r="F488" s="20">
        <f>F489+F494+F502</f>
        <v>207615.9</v>
      </c>
      <c r="G488" s="20">
        <f>G489+G494+G502</f>
        <v>211565</v>
      </c>
    </row>
    <row r="489" spans="1:7" ht="47.25" outlineLevel="2" x14ac:dyDescent="0.25">
      <c r="A489" s="30" t="s">
        <v>59</v>
      </c>
      <c r="B489" s="24" t="s">
        <v>89</v>
      </c>
      <c r="C489" s="24" t="s">
        <v>60</v>
      </c>
      <c r="D489" s="25"/>
      <c r="E489" s="20">
        <f>E490</f>
        <v>1.5</v>
      </c>
      <c r="F489" s="20">
        <f t="shared" ref="F489:G492" si="192">F490</f>
        <v>1.5</v>
      </c>
      <c r="G489" s="20">
        <f t="shared" si="192"/>
        <v>1.5</v>
      </c>
    </row>
    <row r="490" spans="1:7" outlineLevel="2" x14ac:dyDescent="0.25">
      <c r="A490" s="33" t="s">
        <v>144</v>
      </c>
      <c r="B490" s="31" t="s">
        <v>89</v>
      </c>
      <c r="C490" s="31" t="s">
        <v>135</v>
      </c>
      <c r="D490" s="25"/>
      <c r="E490" s="20">
        <f>E491</f>
        <v>1.5</v>
      </c>
      <c r="F490" s="20">
        <f t="shared" si="192"/>
        <v>1.5</v>
      </c>
      <c r="G490" s="20">
        <f t="shared" si="192"/>
        <v>1.5</v>
      </c>
    </row>
    <row r="491" spans="1:7" ht="110.25" outlineLevel="2" x14ac:dyDescent="0.25">
      <c r="A491" s="30" t="s">
        <v>400</v>
      </c>
      <c r="B491" s="24" t="s">
        <v>89</v>
      </c>
      <c r="C491" s="24" t="s">
        <v>401</v>
      </c>
      <c r="D491" s="25"/>
      <c r="E491" s="20">
        <f>E492</f>
        <v>1.5</v>
      </c>
      <c r="F491" s="20">
        <f t="shared" si="192"/>
        <v>1.5</v>
      </c>
      <c r="G491" s="20">
        <f t="shared" si="192"/>
        <v>1.5</v>
      </c>
    </row>
    <row r="492" spans="1:7" ht="173.25" outlineLevel="2" x14ac:dyDescent="0.25">
      <c r="A492" s="1" t="s">
        <v>436</v>
      </c>
      <c r="B492" s="24" t="s">
        <v>89</v>
      </c>
      <c r="C492" s="24" t="s">
        <v>437</v>
      </c>
      <c r="D492" s="25"/>
      <c r="E492" s="20">
        <f>E493</f>
        <v>1.5</v>
      </c>
      <c r="F492" s="20">
        <f t="shared" si="192"/>
        <v>1.5</v>
      </c>
      <c r="G492" s="20">
        <f t="shared" si="192"/>
        <v>1.5</v>
      </c>
    </row>
    <row r="493" spans="1:7" ht="31.5" outlineLevel="2" x14ac:dyDescent="0.25">
      <c r="A493" s="42" t="s">
        <v>76</v>
      </c>
      <c r="B493" s="24" t="s">
        <v>89</v>
      </c>
      <c r="C493" s="24" t="s">
        <v>437</v>
      </c>
      <c r="D493" s="25">
        <v>200</v>
      </c>
      <c r="E493" s="20">
        <f>1.8-0.3</f>
        <v>1.5</v>
      </c>
      <c r="F493" s="20">
        <f>1.8-0.3</f>
        <v>1.5</v>
      </c>
      <c r="G493" s="20">
        <f>1.8-0.3</f>
        <v>1.5</v>
      </c>
    </row>
    <row r="494" spans="1:7" ht="78.75" outlineLevel="2" x14ac:dyDescent="0.25">
      <c r="A494" s="34" t="s">
        <v>347</v>
      </c>
      <c r="B494" s="19" t="s">
        <v>89</v>
      </c>
      <c r="C494" s="19" t="s">
        <v>54</v>
      </c>
      <c r="D494" s="10"/>
      <c r="E494" s="20">
        <f>E495</f>
        <v>92307.800000000032</v>
      </c>
      <c r="F494" s="20">
        <f t="shared" ref="F494:G496" si="193">F495</f>
        <v>82051.200000000012</v>
      </c>
      <c r="G494" s="20">
        <f t="shared" si="193"/>
        <v>82051.200000000012</v>
      </c>
    </row>
    <row r="495" spans="1:7" outlineLevel="2" x14ac:dyDescent="0.25">
      <c r="A495" s="33" t="s">
        <v>144</v>
      </c>
      <c r="B495" s="19" t="s">
        <v>89</v>
      </c>
      <c r="C495" s="19" t="s">
        <v>83</v>
      </c>
      <c r="D495" s="10"/>
      <c r="E495" s="20">
        <f>E496</f>
        <v>92307.800000000032</v>
      </c>
      <c r="F495" s="20">
        <f t="shared" si="193"/>
        <v>82051.200000000012</v>
      </c>
      <c r="G495" s="20">
        <f t="shared" si="193"/>
        <v>82051.200000000012</v>
      </c>
    </row>
    <row r="496" spans="1:7" ht="78.75" outlineLevel="2" x14ac:dyDescent="0.25">
      <c r="A496" s="33" t="s">
        <v>438</v>
      </c>
      <c r="B496" s="19" t="s">
        <v>89</v>
      </c>
      <c r="C496" s="19" t="s">
        <v>439</v>
      </c>
      <c r="D496" s="10"/>
      <c r="E496" s="20">
        <f>E497</f>
        <v>92307.800000000032</v>
      </c>
      <c r="F496" s="20">
        <f t="shared" si="193"/>
        <v>82051.200000000012</v>
      </c>
      <c r="G496" s="20">
        <f t="shared" si="193"/>
        <v>82051.200000000012</v>
      </c>
    </row>
    <row r="497" spans="1:7" ht="47.25" outlineLevel="2" x14ac:dyDescent="0.25">
      <c r="A497" s="9" t="s">
        <v>159</v>
      </c>
      <c r="B497" s="19" t="s">
        <v>89</v>
      </c>
      <c r="C497" s="19" t="s">
        <v>440</v>
      </c>
      <c r="D497" s="10"/>
      <c r="E497" s="20">
        <f>SUM(E498:E501)</f>
        <v>92307.800000000032</v>
      </c>
      <c r="F497" s="20">
        <f t="shared" ref="F497:G497" si="194">F498+F499</f>
        <v>82051.200000000012</v>
      </c>
      <c r="G497" s="20">
        <f t="shared" si="194"/>
        <v>82051.200000000012</v>
      </c>
    </row>
    <row r="498" spans="1:7" ht="94.5" outlineLevel="2" x14ac:dyDescent="0.25">
      <c r="A498" s="21" t="s">
        <v>13</v>
      </c>
      <c r="B498" s="19" t="s">
        <v>89</v>
      </c>
      <c r="C498" s="19" t="s">
        <v>440</v>
      </c>
      <c r="D498" s="10">
        <v>100</v>
      </c>
      <c r="E498" s="20">
        <f>77726.5+8680.6+1385.1+4.1+64.6</f>
        <v>87860.900000000023</v>
      </c>
      <c r="F498" s="20">
        <v>80320.600000000006</v>
      </c>
      <c r="G498" s="20">
        <v>80320.600000000006</v>
      </c>
    </row>
    <row r="499" spans="1:7" ht="31.5" outlineLevel="2" x14ac:dyDescent="0.25">
      <c r="A499" s="21" t="s">
        <v>76</v>
      </c>
      <c r="B499" s="19" t="s">
        <v>89</v>
      </c>
      <c r="C499" s="19" t="s">
        <v>440</v>
      </c>
      <c r="D499" s="10">
        <v>200</v>
      </c>
      <c r="E499" s="20">
        <f>2117.9+290.9</f>
        <v>2408.8000000000002</v>
      </c>
      <c r="F499" s="20">
        <v>1730.6</v>
      </c>
      <c r="G499" s="20">
        <v>1730.6</v>
      </c>
    </row>
    <row r="500" spans="1:7" ht="31.5" outlineLevel="2" x14ac:dyDescent="0.25">
      <c r="A500" s="18" t="s">
        <v>20</v>
      </c>
      <c r="B500" s="19" t="s">
        <v>89</v>
      </c>
      <c r="C500" s="19" t="s">
        <v>440</v>
      </c>
      <c r="D500" s="19" t="s">
        <v>557</v>
      </c>
      <c r="E500" s="20">
        <f>677.5-17.6+1191.1</f>
        <v>1851</v>
      </c>
      <c r="F500" s="20">
        <v>0</v>
      </c>
      <c r="G500" s="20">
        <v>0</v>
      </c>
    </row>
    <row r="501" spans="1:7" outlineLevel="2" x14ac:dyDescent="0.25">
      <c r="A501" s="42" t="s">
        <v>33</v>
      </c>
      <c r="B501" s="19" t="s">
        <v>89</v>
      </c>
      <c r="C501" s="19" t="s">
        <v>440</v>
      </c>
      <c r="D501" s="19" t="s">
        <v>528</v>
      </c>
      <c r="E501" s="20">
        <f>173.6+13.5</f>
        <v>187.1</v>
      </c>
      <c r="F501" s="20">
        <v>0</v>
      </c>
      <c r="G501" s="20">
        <v>0</v>
      </c>
    </row>
    <row r="502" spans="1:7" ht="78.75" outlineLevel="2" x14ac:dyDescent="0.25">
      <c r="A502" s="33" t="s">
        <v>332</v>
      </c>
      <c r="B502" s="24" t="s">
        <v>89</v>
      </c>
      <c r="C502" s="24" t="s">
        <v>333</v>
      </c>
      <c r="D502" s="25"/>
      <c r="E502" s="20">
        <f>E503</f>
        <v>168304.4</v>
      </c>
      <c r="F502" s="20">
        <f t="shared" ref="F502:G504" si="195">F503</f>
        <v>125563.19999999998</v>
      </c>
      <c r="G502" s="20">
        <f t="shared" si="195"/>
        <v>129512.3</v>
      </c>
    </row>
    <row r="503" spans="1:7" outlineLevel="2" x14ac:dyDescent="0.25">
      <c r="A503" s="33" t="s">
        <v>144</v>
      </c>
      <c r="B503" s="31" t="s">
        <v>89</v>
      </c>
      <c r="C503" s="31" t="s">
        <v>441</v>
      </c>
      <c r="D503" s="25"/>
      <c r="E503" s="20">
        <f>E504</f>
        <v>168304.4</v>
      </c>
      <c r="F503" s="20">
        <f t="shared" si="195"/>
        <v>125563.19999999998</v>
      </c>
      <c r="G503" s="20">
        <f t="shared" si="195"/>
        <v>129512.3</v>
      </c>
    </row>
    <row r="504" spans="1:7" ht="63" outlineLevel="2" x14ac:dyDescent="0.25">
      <c r="A504" s="33" t="s">
        <v>442</v>
      </c>
      <c r="B504" s="24" t="s">
        <v>89</v>
      </c>
      <c r="C504" s="31" t="s">
        <v>443</v>
      </c>
      <c r="D504" s="25"/>
      <c r="E504" s="20">
        <f>E505</f>
        <v>168304.4</v>
      </c>
      <c r="F504" s="20">
        <f t="shared" si="195"/>
        <v>125563.19999999998</v>
      </c>
      <c r="G504" s="20">
        <f t="shared" si="195"/>
        <v>129512.3</v>
      </c>
    </row>
    <row r="505" spans="1:7" ht="47.25" outlineLevel="2" x14ac:dyDescent="0.25">
      <c r="A505" s="38" t="s">
        <v>151</v>
      </c>
      <c r="B505" s="24" t="s">
        <v>89</v>
      </c>
      <c r="C505" s="24" t="s">
        <v>444</v>
      </c>
      <c r="D505" s="25"/>
      <c r="E505" s="20">
        <f>E506+E507+E508</f>
        <v>168304.4</v>
      </c>
      <c r="F505" s="20">
        <f t="shared" ref="F505:G505" si="196">F506+F507+F508</f>
        <v>125563.19999999998</v>
      </c>
      <c r="G505" s="20">
        <f t="shared" si="196"/>
        <v>129512.3</v>
      </c>
    </row>
    <row r="506" spans="1:7" ht="94.5" outlineLevel="2" x14ac:dyDescent="0.25">
      <c r="A506" s="38" t="s">
        <v>75</v>
      </c>
      <c r="B506" s="24" t="s">
        <v>89</v>
      </c>
      <c r="C506" s="24" t="s">
        <v>444</v>
      </c>
      <c r="D506" s="25">
        <v>100</v>
      </c>
      <c r="E506" s="20">
        <f>72196.8+21699.1</f>
        <v>93895.9</v>
      </c>
      <c r="F506" s="20">
        <f>75084.7+22567.1</f>
        <v>97651.799999999988</v>
      </c>
      <c r="G506" s="20">
        <f>78088.1+23469.8</f>
        <v>101557.90000000001</v>
      </c>
    </row>
    <row r="507" spans="1:7" ht="31.5" outlineLevel="2" x14ac:dyDescent="0.25">
      <c r="A507" s="18" t="s">
        <v>76</v>
      </c>
      <c r="B507" s="24" t="s">
        <v>89</v>
      </c>
      <c r="C507" s="24" t="s">
        <v>444</v>
      </c>
      <c r="D507" s="25">
        <v>200</v>
      </c>
      <c r="E507" s="20">
        <f>4391.6+280.2+1035.4</f>
        <v>5707.2000000000007</v>
      </c>
      <c r="F507" s="20">
        <v>4273.3999999999996</v>
      </c>
      <c r="G507" s="20">
        <v>4321.3999999999996</v>
      </c>
    </row>
    <row r="508" spans="1:7" outlineLevel="2" x14ac:dyDescent="0.25">
      <c r="A508" s="23" t="s">
        <v>33</v>
      </c>
      <c r="B508" s="24" t="s">
        <v>89</v>
      </c>
      <c r="C508" s="24" t="s">
        <v>444</v>
      </c>
      <c r="D508" s="25">
        <v>800</v>
      </c>
      <c r="E508" s="20">
        <f>23638+45013.3+50</f>
        <v>68701.3</v>
      </c>
      <c r="F508" s="20">
        <v>23638</v>
      </c>
      <c r="G508" s="20">
        <f>23638-5</f>
        <v>23633</v>
      </c>
    </row>
    <row r="509" spans="1:7" x14ac:dyDescent="0.25">
      <c r="A509" s="14" t="s">
        <v>445</v>
      </c>
      <c r="B509" s="15" t="s">
        <v>446</v>
      </c>
      <c r="C509" s="15"/>
      <c r="D509" s="16"/>
      <c r="E509" s="17">
        <f t="shared" ref="E509:G514" si="197">E510</f>
        <v>39028.400000000001</v>
      </c>
      <c r="F509" s="17">
        <f t="shared" si="197"/>
        <v>20582.900000000001</v>
      </c>
      <c r="G509" s="17">
        <f t="shared" si="197"/>
        <v>20582.900000000001</v>
      </c>
    </row>
    <row r="510" spans="1:7" ht="31.5" outlineLevel="1" x14ac:dyDescent="0.25">
      <c r="A510" s="21" t="s">
        <v>447</v>
      </c>
      <c r="B510" s="19" t="s">
        <v>448</v>
      </c>
      <c r="C510" s="19"/>
      <c r="D510" s="10"/>
      <c r="E510" s="20">
        <f t="shared" si="197"/>
        <v>39028.400000000001</v>
      </c>
      <c r="F510" s="20">
        <f t="shared" si="197"/>
        <v>20582.900000000001</v>
      </c>
      <c r="G510" s="20">
        <f t="shared" si="197"/>
        <v>20582.900000000001</v>
      </c>
    </row>
    <row r="511" spans="1:7" ht="47.25" outlineLevel="2" x14ac:dyDescent="0.25">
      <c r="A511" s="33" t="s">
        <v>370</v>
      </c>
      <c r="B511" s="19" t="s">
        <v>448</v>
      </c>
      <c r="C511" s="19" t="s">
        <v>371</v>
      </c>
      <c r="D511" s="10"/>
      <c r="E511" s="20">
        <f t="shared" si="197"/>
        <v>39028.400000000001</v>
      </c>
      <c r="F511" s="20">
        <f t="shared" si="197"/>
        <v>20582.900000000001</v>
      </c>
      <c r="G511" s="20">
        <f t="shared" si="197"/>
        <v>20582.900000000001</v>
      </c>
    </row>
    <row r="512" spans="1:7" outlineLevel="2" x14ac:dyDescent="0.25">
      <c r="A512" s="33" t="s">
        <v>144</v>
      </c>
      <c r="B512" s="31" t="s">
        <v>448</v>
      </c>
      <c r="C512" s="31" t="s">
        <v>407</v>
      </c>
      <c r="D512" s="25"/>
      <c r="E512" s="20">
        <f t="shared" si="197"/>
        <v>39028.400000000001</v>
      </c>
      <c r="F512" s="20">
        <f t="shared" si="197"/>
        <v>20582.900000000001</v>
      </c>
      <c r="G512" s="20">
        <f t="shared" si="197"/>
        <v>20582.900000000001</v>
      </c>
    </row>
    <row r="513" spans="1:7" ht="47.25" outlineLevel="2" x14ac:dyDescent="0.25">
      <c r="A513" s="33" t="s">
        <v>408</v>
      </c>
      <c r="B513" s="31" t="s">
        <v>448</v>
      </c>
      <c r="C513" s="31" t="s">
        <v>409</v>
      </c>
      <c r="D513" s="25"/>
      <c r="E513" s="20">
        <f t="shared" si="197"/>
        <v>39028.400000000001</v>
      </c>
      <c r="F513" s="20">
        <f t="shared" si="197"/>
        <v>20582.900000000001</v>
      </c>
      <c r="G513" s="20">
        <f t="shared" si="197"/>
        <v>20582.900000000001</v>
      </c>
    </row>
    <row r="514" spans="1:7" outlineLevel="2" x14ac:dyDescent="0.25">
      <c r="A514" s="34" t="s">
        <v>449</v>
      </c>
      <c r="B514" s="24" t="s">
        <v>448</v>
      </c>
      <c r="C514" s="24" t="s">
        <v>450</v>
      </c>
      <c r="D514" s="10"/>
      <c r="E514" s="20">
        <f t="shared" si="197"/>
        <v>39028.400000000001</v>
      </c>
      <c r="F514" s="20">
        <f t="shared" si="197"/>
        <v>20582.900000000001</v>
      </c>
      <c r="G514" s="20">
        <f t="shared" si="197"/>
        <v>20582.900000000001</v>
      </c>
    </row>
    <row r="515" spans="1:7" ht="47.25" outlineLevel="2" x14ac:dyDescent="0.25">
      <c r="A515" s="21" t="s">
        <v>94</v>
      </c>
      <c r="B515" s="24" t="s">
        <v>448</v>
      </c>
      <c r="C515" s="24" t="s">
        <v>450</v>
      </c>
      <c r="D515" s="10">
        <v>600</v>
      </c>
      <c r="E515" s="20">
        <f>20582.9+3861.9+14583.6</f>
        <v>39028.400000000001</v>
      </c>
      <c r="F515" s="20">
        <v>20582.900000000001</v>
      </c>
      <c r="G515" s="20">
        <v>20582.900000000001</v>
      </c>
    </row>
    <row r="516" spans="1:7" x14ac:dyDescent="0.25">
      <c r="A516" s="14" t="s">
        <v>90</v>
      </c>
      <c r="B516" s="15" t="s">
        <v>91</v>
      </c>
      <c r="C516" s="37"/>
      <c r="D516" s="17"/>
      <c r="E516" s="32">
        <f>E517+E539+E604+E627+E645</f>
        <v>6497841.1000000015</v>
      </c>
      <c r="F516" s="32">
        <f>F517+F539+F604+F627+F645</f>
        <v>6289899.3999999994</v>
      </c>
      <c r="G516" s="32">
        <f>G517+G539+G604+G627+G645</f>
        <v>6625293.7999999998</v>
      </c>
    </row>
    <row r="517" spans="1:7" outlineLevel="1" x14ac:dyDescent="0.25">
      <c r="A517" s="21" t="s">
        <v>92</v>
      </c>
      <c r="B517" s="19" t="s">
        <v>93</v>
      </c>
      <c r="C517" s="19"/>
      <c r="D517" s="10"/>
      <c r="E517" s="20">
        <f>E518</f>
        <v>2171483.1</v>
      </c>
      <c r="F517" s="20">
        <f t="shared" ref="F517:G517" si="198">F518</f>
        <v>2058504.2</v>
      </c>
      <c r="G517" s="20">
        <f t="shared" si="198"/>
        <v>2177770.1999999997</v>
      </c>
    </row>
    <row r="518" spans="1:7" ht="31.5" outlineLevel="2" x14ac:dyDescent="0.25">
      <c r="A518" s="21" t="s">
        <v>209</v>
      </c>
      <c r="B518" s="19" t="s">
        <v>93</v>
      </c>
      <c r="C518" s="19" t="s">
        <v>210</v>
      </c>
      <c r="D518" s="10"/>
      <c r="E518" s="20">
        <f>E519+E525</f>
        <v>2171483.1</v>
      </c>
      <c r="F518" s="20">
        <f t="shared" ref="F518:G518" si="199">F519+F525</f>
        <v>2058504.2</v>
      </c>
      <c r="G518" s="20">
        <f t="shared" si="199"/>
        <v>2177770.1999999997</v>
      </c>
    </row>
    <row r="519" spans="1:7" ht="31.5" outlineLevel="2" x14ac:dyDescent="0.25">
      <c r="A519" s="21" t="s">
        <v>155</v>
      </c>
      <c r="B519" s="19" t="s">
        <v>93</v>
      </c>
      <c r="C519" s="19" t="s">
        <v>211</v>
      </c>
      <c r="D519" s="10"/>
      <c r="E519" s="20">
        <f>E520</f>
        <v>4000</v>
      </c>
      <c r="F519" s="20">
        <f t="shared" ref="F519:G519" si="200">F520</f>
        <v>16606.8</v>
      </c>
      <c r="G519" s="20">
        <f t="shared" si="200"/>
        <v>18845.8</v>
      </c>
    </row>
    <row r="520" spans="1:7" ht="47.25" outlineLevel="2" x14ac:dyDescent="0.25">
      <c r="A520" s="33" t="s">
        <v>212</v>
      </c>
      <c r="B520" s="19" t="s">
        <v>93</v>
      </c>
      <c r="C520" s="19" t="s">
        <v>213</v>
      </c>
      <c r="D520" s="10"/>
      <c r="E520" s="20">
        <f>E521+E523</f>
        <v>4000</v>
      </c>
      <c r="F520" s="20">
        <f t="shared" ref="F520:G520" si="201">F521+F523</f>
        <v>16606.8</v>
      </c>
      <c r="G520" s="20">
        <f t="shared" si="201"/>
        <v>18845.8</v>
      </c>
    </row>
    <row r="521" spans="1:7" ht="31.5" outlineLevel="2" x14ac:dyDescent="0.25">
      <c r="A521" s="18" t="s">
        <v>214</v>
      </c>
      <c r="B521" s="19" t="s">
        <v>93</v>
      </c>
      <c r="C521" s="19" t="s">
        <v>215</v>
      </c>
      <c r="D521" s="19"/>
      <c r="E521" s="20">
        <f>E522</f>
        <v>4000</v>
      </c>
      <c r="F521" s="20">
        <f t="shared" ref="F521:G521" si="202">F522</f>
        <v>0</v>
      </c>
      <c r="G521" s="20">
        <f t="shared" si="202"/>
        <v>0</v>
      </c>
    </row>
    <row r="522" spans="1:7" ht="47.25" outlineLevel="2" x14ac:dyDescent="0.25">
      <c r="A522" s="18" t="s">
        <v>94</v>
      </c>
      <c r="B522" s="19" t="s">
        <v>93</v>
      </c>
      <c r="C522" s="19" t="s">
        <v>215</v>
      </c>
      <c r="D522" s="19" t="s">
        <v>95</v>
      </c>
      <c r="E522" s="20">
        <f>606.4+9500-366.4-5740</f>
        <v>4000</v>
      </c>
      <c r="F522" s="20">
        <v>0</v>
      </c>
      <c r="G522" s="20">
        <v>0</v>
      </c>
    </row>
    <row r="523" spans="1:7" ht="63" outlineLevel="2" x14ac:dyDescent="0.25">
      <c r="A523" s="18" t="s">
        <v>628</v>
      </c>
      <c r="B523" s="19" t="s">
        <v>93</v>
      </c>
      <c r="C523" s="19" t="s">
        <v>629</v>
      </c>
      <c r="D523" s="19"/>
      <c r="E523" s="20">
        <v>0</v>
      </c>
      <c r="F523" s="20">
        <v>16606.8</v>
      </c>
      <c r="G523" s="20">
        <v>18845.8</v>
      </c>
    </row>
    <row r="524" spans="1:7" ht="47.25" outlineLevel="2" x14ac:dyDescent="0.25">
      <c r="A524" s="18" t="s">
        <v>94</v>
      </c>
      <c r="B524" s="19" t="s">
        <v>93</v>
      </c>
      <c r="C524" s="19" t="s">
        <v>629</v>
      </c>
      <c r="D524" s="19" t="s">
        <v>95</v>
      </c>
      <c r="E524" s="20">
        <v>0</v>
      </c>
      <c r="F524" s="20">
        <v>16606.8</v>
      </c>
      <c r="G524" s="20">
        <v>18845.8</v>
      </c>
    </row>
    <row r="525" spans="1:7" outlineLevel="2" x14ac:dyDescent="0.25">
      <c r="A525" s="21" t="s">
        <v>144</v>
      </c>
      <c r="B525" s="19" t="s">
        <v>93</v>
      </c>
      <c r="C525" s="19" t="s">
        <v>216</v>
      </c>
      <c r="D525" s="10"/>
      <c r="E525" s="20">
        <f>E526+E534</f>
        <v>2167483.1</v>
      </c>
      <c r="F525" s="20">
        <f t="shared" ref="F525:G525" si="203">F526+F534</f>
        <v>2041897.4</v>
      </c>
      <c r="G525" s="20">
        <f t="shared" si="203"/>
        <v>2158924.4</v>
      </c>
    </row>
    <row r="526" spans="1:7" ht="63" outlineLevel="2" x14ac:dyDescent="0.25">
      <c r="A526" s="33" t="s">
        <v>495</v>
      </c>
      <c r="B526" s="19" t="s">
        <v>93</v>
      </c>
      <c r="C526" s="19" t="s">
        <v>217</v>
      </c>
      <c r="D526" s="10"/>
      <c r="E526" s="20">
        <f>E527+E529+E532</f>
        <v>2165977</v>
      </c>
      <c r="F526" s="20">
        <f t="shared" ref="F526:G526" si="204">F527+F529+F532</f>
        <v>2040521.5</v>
      </c>
      <c r="G526" s="20">
        <f t="shared" si="204"/>
        <v>2157548.5</v>
      </c>
    </row>
    <row r="527" spans="1:7" ht="47.25" outlineLevel="2" x14ac:dyDescent="0.25">
      <c r="A527" s="9" t="s">
        <v>151</v>
      </c>
      <c r="B527" s="19" t="s">
        <v>93</v>
      </c>
      <c r="C527" s="19" t="s">
        <v>218</v>
      </c>
      <c r="D527" s="10"/>
      <c r="E527" s="20">
        <f>E528</f>
        <v>979615.4</v>
      </c>
      <c r="F527" s="20">
        <f t="shared" ref="F527:G527" si="205">F528</f>
        <v>788966.2</v>
      </c>
      <c r="G527" s="20">
        <f t="shared" si="205"/>
        <v>905993.2</v>
      </c>
    </row>
    <row r="528" spans="1:7" ht="47.25" outlineLevel="2" x14ac:dyDescent="0.25">
      <c r="A528" s="21" t="s">
        <v>94</v>
      </c>
      <c r="B528" s="19" t="s">
        <v>93</v>
      </c>
      <c r="C528" s="19" t="s">
        <v>218</v>
      </c>
      <c r="D528" s="10">
        <v>600</v>
      </c>
      <c r="E528" s="20">
        <f>888230.5+1850+70.1+1200+30712.6+1161.1+520.3+55870.8</f>
        <v>979615.4</v>
      </c>
      <c r="F528" s="20">
        <f>897966.2-109000</f>
        <v>788966.2</v>
      </c>
      <c r="G528" s="20">
        <f>907397.5-1404.3</f>
        <v>905993.2</v>
      </c>
    </row>
    <row r="529" spans="1:7" ht="78.75" outlineLevel="2" x14ac:dyDescent="0.25">
      <c r="A529" s="33" t="s">
        <v>219</v>
      </c>
      <c r="B529" s="19" t="s">
        <v>93</v>
      </c>
      <c r="C529" s="19" t="s">
        <v>220</v>
      </c>
      <c r="D529" s="10"/>
      <c r="E529" s="20">
        <f>E530+E531</f>
        <v>17791.7</v>
      </c>
      <c r="F529" s="20">
        <f t="shared" ref="F529:G529" si="206">F530+F531</f>
        <v>17791.7</v>
      </c>
      <c r="G529" s="20">
        <f t="shared" si="206"/>
        <v>17791.7</v>
      </c>
    </row>
    <row r="530" spans="1:7" ht="47.25" outlineLevel="2" x14ac:dyDescent="0.25">
      <c r="A530" s="21" t="s">
        <v>94</v>
      </c>
      <c r="B530" s="19" t="s">
        <v>93</v>
      </c>
      <c r="C530" s="19" t="s">
        <v>220</v>
      </c>
      <c r="D530" s="10">
        <v>600</v>
      </c>
      <c r="E530" s="20">
        <f>1152+8416.8-2745-1323.8+8.4+131.6+600</f>
        <v>6239.9999999999991</v>
      </c>
      <c r="F530" s="20">
        <v>8160.5</v>
      </c>
      <c r="G530" s="20">
        <v>8160.5</v>
      </c>
    </row>
    <row r="531" spans="1:7" outlineLevel="2" x14ac:dyDescent="0.25">
      <c r="A531" s="18" t="s">
        <v>33</v>
      </c>
      <c r="B531" s="19" t="s">
        <v>93</v>
      </c>
      <c r="C531" s="19" t="s">
        <v>220</v>
      </c>
      <c r="D531" s="10">
        <v>800</v>
      </c>
      <c r="E531" s="20">
        <f>9631.2+2660.5-8.4-131.6-600</f>
        <v>11551.7</v>
      </c>
      <c r="F531" s="20">
        <v>9631.2000000000007</v>
      </c>
      <c r="G531" s="20">
        <v>9631.2000000000007</v>
      </c>
    </row>
    <row r="532" spans="1:7" ht="204.75" outlineLevel="2" x14ac:dyDescent="0.25">
      <c r="A532" s="33" t="s">
        <v>221</v>
      </c>
      <c r="B532" s="19" t="s">
        <v>93</v>
      </c>
      <c r="C532" s="19" t="s">
        <v>222</v>
      </c>
      <c r="D532" s="10"/>
      <c r="E532" s="20">
        <f t="shared" ref="E532:G532" si="207">E533</f>
        <v>1168569.8999999999</v>
      </c>
      <c r="F532" s="20">
        <f t="shared" si="207"/>
        <v>1233763.6000000001</v>
      </c>
      <c r="G532" s="20">
        <f t="shared" si="207"/>
        <v>1233763.6000000001</v>
      </c>
    </row>
    <row r="533" spans="1:7" ht="47.25" outlineLevel="2" x14ac:dyDescent="0.25">
      <c r="A533" s="21" t="s">
        <v>94</v>
      </c>
      <c r="B533" s="19" t="s">
        <v>93</v>
      </c>
      <c r="C533" s="19" t="s">
        <v>222</v>
      </c>
      <c r="D533" s="19" t="s">
        <v>95</v>
      </c>
      <c r="E533" s="20">
        <f>1038369.9+130200</f>
        <v>1168569.8999999999</v>
      </c>
      <c r="F533" s="20">
        <v>1233763.6000000001</v>
      </c>
      <c r="G533" s="20">
        <v>1233763.6000000001</v>
      </c>
    </row>
    <row r="534" spans="1:7" ht="63" outlineLevel="2" x14ac:dyDescent="0.25">
      <c r="A534" s="33" t="s">
        <v>489</v>
      </c>
      <c r="B534" s="19" t="s">
        <v>93</v>
      </c>
      <c r="C534" s="19" t="s">
        <v>223</v>
      </c>
      <c r="D534" s="19"/>
      <c r="E534" s="20">
        <f>E537+E535</f>
        <v>1506.1000000000001</v>
      </c>
      <c r="F534" s="20">
        <f>F537</f>
        <v>1375.9</v>
      </c>
      <c r="G534" s="20">
        <f>G537</f>
        <v>1375.9</v>
      </c>
    </row>
    <row r="535" spans="1:7" ht="31.5" outlineLevel="2" x14ac:dyDescent="0.25">
      <c r="A535" s="1" t="s">
        <v>250</v>
      </c>
      <c r="B535" s="19" t="s">
        <v>93</v>
      </c>
      <c r="C535" s="19" t="s">
        <v>251</v>
      </c>
      <c r="D535" s="19"/>
      <c r="E535" s="20">
        <f>E536</f>
        <v>130.19999999999999</v>
      </c>
      <c r="F535" s="20">
        <f t="shared" ref="F535:G535" si="208">F536</f>
        <v>0</v>
      </c>
      <c r="G535" s="20">
        <f t="shared" si="208"/>
        <v>0</v>
      </c>
    </row>
    <row r="536" spans="1:7" ht="47.25" outlineLevel="2" x14ac:dyDescent="0.25">
      <c r="A536" s="49" t="s">
        <v>94</v>
      </c>
      <c r="B536" s="19" t="s">
        <v>93</v>
      </c>
      <c r="C536" s="19" t="s">
        <v>251</v>
      </c>
      <c r="D536" s="19">
        <v>600</v>
      </c>
      <c r="E536" s="20">
        <v>130.19999999999999</v>
      </c>
      <c r="F536" s="20">
        <v>0</v>
      </c>
      <c r="G536" s="20">
        <v>0</v>
      </c>
    </row>
    <row r="537" spans="1:7" ht="47.25" outlineLevel="2" x14ac:dyDescent="0.25">
      <c r="A537" s="50" t="s">
        <v>224</v>
      </c>
      <c r="B537" s="51" t="s">
        <v>93</v>
      </c>
      <c r="C537" s="52" t="s">
        <v>225</v>
      </c>
      <c r="D537" s="51"/>
      <c r="E537" s="20">
        <f>E538</f>
        <v>1375.9</v>
      </c>
      <c r="F537" s="20">
        <f t="shared" ref="F537:G537" si="209">F538</f>
        <v>1375.9</v>
      </c>
      <c r="G537" s="20">
        <f t="shared" si="209"/>
        <v>1375.9</v>
      </c>
    </row>
    <row r="538" spans="1:7" ht="47.25" outlineLevel="2" x14ac:dyDescent="0.25">
      <c r="A538" s="21" t="s">
        <v>94</v>
      </c>
      <c r="B538" s="51" t="s">
        <v>93</v>
      </c>
      <c r="C538" s="52" t="s">
        <v>225</v>
      </c>
      <c r="D538" s="51">
        <v>600</v>
      </c>
      <c r="E538" s="20">
        <v>1375.9</v>
      </c>
      <c r="F538" s="20">
        <v>1375.9</v>
      </c>
      <c r="G538" s="20">
        <v>1375.9</v>
      </c>
    </row>
    <row r="539" spans="1:7" outlineLevel="1" x14ac:dyDescent="0.25">
      <c r="A539" s="21" t="s">
        <v>226</v>
      </c>
      <c r="B539" s="19" t="s">
        <v>227</v>
      </c>
      <c r="C539" s="19"/>
      <c r="D539" s="10"/>
      <c r="E539" s="20">
        <f>E540</f>
        <v>3393776.7</v>
      </c>
      <c r="F539" s="20">
        <f t="shared" ref="F539:G539" si="210">F540</f>
        <v>3483195.8999999994</v>
      </c>
      <c r="G539" s="20">
        <f t="shared" si="210"/>
        <v>3675368.1</v>
      </c>
    </row>
    <row r="540" spans="1:7" ht="31.5" outlineLevel="2" x14ac:dyDescent="0.25">
      <c r="A540" s="21" t="s">
        <v>209</v>
      </c>
      <c r="B540" s="19" t="s">
        <v>227</v>
      </c>
      <c r="C540" s="19" t="s">
        <v>210</v>
      </c>
      <c r="D540" s="10"/>
      <c r="E540" s="20">
        <f>E541+E563+E553</f>
        <v>3393776.7</v>
      </c>
      <c r="F540" s="20">
        <f t="shared" ref="F540:G540" si="211">F541+F563+F553</f>
        <v>3483195.8999999994</v>
      </c>
      <c r="G540" s="20">
        <f t="shared" si="211"/>
        <v>3675368.1</v>
      </c>
    </row>
    <row r="541" spans="1:7" outlineLevel="2" x14ac:dyDescent="0.25">
      <c r="A541" s="21" t="s">
        <v>228</v>
      </c>
      <c r="B541" s="19" t="s">
        <v>227</v>
      </c>
      <c r="C541" s="19" t="s">
        <v>229</v>
      </c>
      <c r="D541" s="10"/>
      <c r="E541" s="20">
        <f>E542+E546</f>
        <v>137093.6</v>
      </c>
      <c r="F541" s="20">
        <f t="shared" ref="F541:G541" si="212">F542+F546</f>
        <v>281563.40000000002</v>
      </c>
      <c r="G541" s="20">
        <f t="shared" si="212"/>
        <v>254952.30000000002</v>
      </c>
    </row>
    <row r="542" spans="1:7" outlineLevel="2" x14ac:dyDescent="0.25">
      <c r="A542" s="9" t="s">
        <v>630</v>
      </c>
      <c r="B542" s="19" t="s">
        <v>227</v>
      </c>
      <c r="C542" s="31" t="s">
        <v>633</v>
      </c>
      <c r="D542" s="10"/>
      <c r="E542" s="20">
        <f>E543</f>
        <v>0</v>
      </c>
      <c r="F542" s="20">
        <f t="shared" ref="F542:G542" si="213">F543</f>
        <v>144469.79999999999</v>
      </c>
      <c r="G542" s="20">
        <f t="shared" si="213"/>
        <v>117858.70000000001</v>
      </c>
    </row>
    <row r="543" spans="1:7" outlineLevel="2" x14ac:dyDescent="0.25">
      <c r="A543" s="9" t="s">
        <v>630</v>
      </c>
      <c r="B543" s="19" t="s">
        <v>227</v>
      </c>
      <c r="C543" s="19" t="s">
        <v>631</v>
      </c>
      <c r="D543" s="10"/>
      <c r="E543" s="20">
        <f>E544</f>
        <v>0</v>
      </c>
      <c r="F543" s="20">
        <f>F544</f>
        <v>144469.79999999999</v>
      </c>
      <c r="G543" s="20">
        <f>G544</f>
        <v>117858.70000000001</v>
      </c>
    </row>
    <row r="544" spans="1:7" ht="78.75" outlineLevel="2" x14ac:dyDescent="0.25">
      <c r="A544" s="9" t="s">
        <v>632</v>
      </c>
      <c r="B544" s="19" t="s">
        <v>227</v>
      </c>
      <c r="C544" s="19" t="s">
        <v>631</v>
      </c>
      <c r="D544" s="10"/>
      <c r="E544" s="20">
        <f>+E545</f>
        <v>0</v>
      </c>
      <c r="F544" s="20">
        <f>F545</f>
        <v>144469.79999999999</v>
      </c>
      <c r="G544" s="20">
        <v>117858.70000000001</v>
      </c>
    </row>
    <row r="545" spans="1:9" ht="47.25" outlineLevel="2" x14ac:dyDescent="0.25">
      <c r="A545" s="9" t="s">
        <v>94</v>
      </c>
      <c r="B545" s="19" t="s">
        <v>227</v>
      </c>
      <c r="C545" s="19" t="s">
        <v>631</v>
      </c>
      <c r="D545" s="10">
        <v>600</v>
      </c>
      <c r="E545" s="20">
        <v>0</v>
      </c>
      <c r="F545" s="20">
        <f>19313.5+125156.3</f>
        <v>144469.79999999999</v>
      </c>
      <c r="G545" s="20">
        <v>117858.70000000001</v>
      </c>
    </row>
    <row r="546" spans="1:9" ht="31.5" outlineLevel="2" x14ac:dyDescent="0.25">
      <c r="A546" s="21" t="s">
        <v>616</v>
      </c>
      <c r="B546" s="19" t="s">
        <v>227</v>
      </c>
      <c r="C546" s="19" t="s">
        <v>617</v>
      </c>
      <c r="D546" s="10"/>
      <c r="E546" s="20">
        <f>E547+E549+E551</f>
        <v>137093.6</v>
      </c>
      <c r="F546" s="20">
        <f t="shared" ref="F546:G546" si="214">F547+F549+F551</f>
        <v>137093.6</v>
      </c>
      <c r="G546" s="20">
        <f t="shared" si="214"/>
        <v>137093.6</v>
      </c>
    </row>
    <row r="547" spans="1:9" ht="189" outlineLevel="2" x14ac:dyDescent="0.25">
      <c r="A547" s="9" t="s">
        <v>612</v>
      </c>
      <c r="B547" s="19" t="s">
        <v>227</v>
      </c>
      <c r="C547" s="19" t="s">
        <v>613</v>
      </c>
      <c r="D547" s="19"/>
      <c r="E547" s="20">
        <f>E548</f>
        <v>2460.8000000000002</v>
      </c>
      <c r="F547" s="20">
        <f t="shared" ref="F547:G547" si="215">F548</f>
        <v>2460.8000000000002</v>
      </c>
      <c r="G547" s="20">
        <f t="shared" si="215"/>
        <v>2460.8000000000002</v>
      </c>
    </row>
    <row r="548" spans="1:9" ht="47.25" outlineLevel="2" x14ac:dyDescent="0.25">
      <c r="A548" s="18" t="s">
        <v>94</v>
      </c>
      <c r="B548" s="19" t="s">
        <v>227</v>
      </c>
      <c r="C548" s="19" t="s">
        <v>613</v>
      </c>
      <c r="D548" s="19" t="s">
        <v>95</v>
      </c>
      <c r="E548" s="20">
        <v>2460.8000000000002</v>
      </c>
      <c r="F548" s="20">
        <v>2460.8000000000002</v>
      </c>
      <c r="G548" s="20">
        <v>2460.8000000000002</v>
      </c>
    </row>
    <row r="549" spans="1:9" ht="78.75" outlineLevel="2" x14ac:dyDescent="0.25">
      <c r="A549" s="23" t="s">
        <v>230</v>
      </c>
      <c r="B549" s="19" t="s">
        <v>227</v>
      </c>
      <c r="C549" s="19" t="s">
        <v>614</v>
      </c>
      <c r="D549" s="19"/>
      <c r="E549" s="20">
        <f>E550</f>
        <v>7844</v>
      </c>
      <c r="F549" s="20">
        <f t="shared" ref="F549:G549" si="216">F550</f>
        <v>7844.0000000000009</v>
      </c>
      <c r="G549" s="20">
        <f t="shared" si="216"/>
        <v>7844.0000000000009</v>
      </c>
    </row>
    <row r="550" spans="1:9" ht="47.25" outlineLevel="2" x14ac:dyDescent="0.25">
      <c r="A550" s="18" t="s">
        <v>94</v>
      </c>
      <c r="B550" s="19" t="s">
        <v>227</v>
      </c>
      <c r="C550" s="19" t="s">
        <v>614</v>
      </c>
      <c r="D550" s="19" t="s">
        <v>95</v>
      </c>
      <c r="E550" s="20">
        <v>7844</v>
      </c>
      <c r="F550" s="20">
        <v>7844.0000000000009</v>
      </c>
      <c r="G550" s="20">
        <v>7844.0000000000009</v>
      </c>
    </row>
    <row r="551" spans="1:9" ht="141.75" outlineLevel="2" x14ac:dyDescent="0.25">
      <c r="A551" s="21" t="s">
        <v>243</v>
      </c>
      <c r="B551" s="19" t="s">
        <v>227</v>
      </c>
      <c r="C551" s="19" t="s">
        <v>615</v>
      </c>
      <c r="D551" s="19"/>
      <c r="E551" s="20">
        <f>E552</f>
        <v>126788.8</v>
      </c>
      <c r="F551" s="20">
        <f t="shared" ref="F551:G551" si="217">F552</f>
        <v>126788.8</v>
      </c>
      <c r="G551" s="20">
        <f t="shared" si="217"/>
        <v>126788.8</v>
      </c>
    </row>
    <row r="552" spans="1:9" ht="47.25" outlineLevel="2" x14ac:dyDescent="0.25">
      <c r="A552" s="21" t="s">
        <v>94</v>
      </c>
      <c r="B552" s="19" t="s">
        <v>227</v>
      </c>
      <c r="C552" s="19" t="s">
        <v>615</v>
      </c>
      <c r="D552" s="19" t="s">
        <v>95</v>
      </c>
      <c r="E552" s="20">
        <v>126788.8</v>
      </c>
      <c r="F552" s="20">
        <v>126788.8</v>
      </c>
      <c r="G552" s="20">
        <v>126788.8</v>
      </c>
    </row>
    <row r="553" spans="1:9" ht="31.5" outlineLevel="2" x14ac:dyDescent="0.25">
      <c r="A553" s="21" t="s">
        <v>155</v>
      </c>
      <c r="B553" s="19" t="s">
        <v>227</v>
      </c>
      <c r="C553" s="19" t="s">
        <v>211</v>
      </c>
      <c r="D553" s="10"/>
      <c r="E553" s="20">
        <f>E554</f>
        <v>577972</v>
      </c>
      <c r="F553" s="20">
        <f>F554</f>
        <v>596213.1</v>
      </c>
      <c r="G553" s="20">
        <f>G554</f>
        <v>587792.10000000009</v>
      </c>
    </row>
    <row r="554" spans="1:9" ht="47.25" outlineLevel="2" x14ac:dyDescent="0.25">
      <c r="A554" s="33" t="s">
        <v>212</v>
      </c>
      <c r="B554" s="19" t="s">
        <v>227</v>
      </c>
      <c r="C554" s="19" t="s">
        <v>213</v>
      </c>
      <c r="D554" s="10"/>
      <c r="E554" s="20">
        <f>E555+E559+E561</f>
        <v>577972</v>
      </c>
      <c r="F554" s="20">
        <f>F555+F558+F560</f>
        <v>596213.1</v>
      </c>
      <c r="G554" s="20">
        <f>G555+G558+G560</f>
        <v>587792.10000000009</v>
      </c>
    </row>
    <row r="555" spans="1:9" ht="63" outlineLevel="2" x14ac:dyDescent="0.25">
      <c r="A555" s="21" t="s">
        <v>231</v>
      </c>
      <c r="B555" s="19" t="s">
        <v>227</v>
      </c>
      <c r="C555" s="19" t="s">
        <v>618</v>
      </c>
      <c r="D555" s="19"/>
      <c r="E555" s="20">
        <f>E556</f>
        <v>574795.70000000007</v>
      </c>
      <c r="F555" s="20">
        <f t="shared" ref="F555:G555" si="218">F556</f>
        <v>574629.1</v>
      </c>
      <c r="G555" s="20">
        <f t="shared" si="218"/>
        <v>574629.20000000007</v>
      </c>
      <c r="I555" s="53"/>
    </row>
    <row r="556" spans="1:9" outlineLevel="2" x14ac:dyDescent="0.25">
      <c r="A556" s="1" t="s">
        <v>33</v>
      </c>
      <c r="B556" s="19" t="s">
        <v>227</v>
      </c>
      <c r="C556" s="19" t="s">
        <v>618</v>
      </c>
      <c r="D556" s="19" t="s">
        <v>528</v>
      </c>
      <c r="E556" s="20">
        <f>528463.6+43327.7-0.1-25105.2+28109.8-0.1</f>
        <v>574795.70000000007</v>
      </c>
      <c r="F556" s="20">
        <f>547631.7+252.4+26745</f>
        <v>574629.1</v>
      </c>
      <c r="G556" s="20">
        <f>547722.8+208.8+26697.6</f>
        <v>574629.20000000007</v>
      </c>
    </row>
    <row r="557" spans="1:9" ht="63" outlineLevel="2" x14ac:dyDescent="0.25">
      <c r="A557" s="1" t="s">
        <v>628</v>
      </c>
      <c r="B557" s="19" t="s">
        <v>227</v>
      </c>
      <c r="C557" s="19" t="s">
        <v>629</v>
      </c>
      <c r="D557" s="19"/>
      <c r="E557" s="20">
        <f>E558</f>
        <v>0</v>
      </c>
      <c r="F557" s="20">
        <f>F558</f>
        <v>19456.300000000003</v>
      </c>
      <c r="G557" s="20">
        <f>G558</f>
        <v>8907.6</v>
      </c>
    </row>
    <row r="558" spans="1:9" ht="47.25" outlineLevel="2" x14ac:dyDescent="0.25">
      <c r="A558" s="1" t="s">
        <v>94</v>
      </c>
      <c r="B558" s="19" t="s">
        <v>227</v>
      </c>
      <c r="C558" s="19" t="s">
        <v>629</v>
      </c>
      <c r="D558" s="19" t="s">
        <v>95</v>
      </c>
      <c r="E558" s="20">
        <v>0</v>
      </c>
      <c r="F558" s="20">
        <v>19456.300000000003</v>
      </c>
      <c r="G558" s="20">
        <v>8907.6</v>
      </c>
    </row>
    <row r="559" spans="1:9" ht="47.25" outlineLevel="2" x14ac:dyDescent="0.25">
      <c r="A559" s="1" t="s">
        <v>232</v>
      </c>
      <c r="B559" s="19" t="s">
        <v>227</v>
      </c>
      <c r="C559" s="19" t="s">
        <v>233</v>
      </c>
      <c r="D559" s="19"/>
      <c r="E559" s="20">
        <f>E560</f>
        <v>2127.6999999999998</v>
      </c>
      <c r="F559" s="20">
        <f>F560</f>
        <v>2127.6999999999998</v>
      </c>
      <c r="G559" s="20">
        <f>G560</f>
        <v>4255.2999999999993</v>
      </c>
    </row>
    <row r="560" spans="1:9" ht="47.25" outlineLevel="2" x14ac:dyDescent="0.25">
      <c r="A560" s="1" t="s">
        <v>94</v>
      </c>
      <c r="B560" s="19" t="s">
        <v>227</v>
      </c>
      <c r="C560" s="19" t="s">
        <v>233</v>
      </c>
      <c r="D560" s="19" t="s">
        <v>95</v>
      </c>
      <c r="E560" s="20">
        <v>2127.6999999999998</v>
      </c>
      <c r="F560" s="20">
        <v>2127.6999999999998</v>
      </c>
      <c r="G560" s="20">
        <v>4255.2999999999993</v>
      </c>
    </row>
    <row r="561" spans="1:7" ht="31.5" outlineLevel="2" x14ac:dyDescent="0.25">
      <c r="A561" s="33" t="s">
        <v>598</v>
      </c>
      <c r="B561" s="19" t="s">
        <v>227</v>
      </c>
      <c r="C561" s="19" t="s">
        <v>599</v>
      </c>
      <c r="D561" s="19"/>
      <c r="E561" s="20">
        <f>E562</f>
        <v>1048.6000000000001</v>
      </c>
      <c r="F561" s="20">
        <f t="shared" ref="F561:G561" si="219">F562</f>
        <v>0</v>
      </c>
      <c r="G561" s="20">
        <f t="shared" si="219"/>
        <v>0</v>
      </c>
    </row>
    <row r="562" spans="1:7" ht="47.25" outlineLevel="2" x14ac:dyDescent="0.25">
      <c r="A562" s="18" t="s">
        <v>94</v>
      </c>
      <c r="B562" s="19" t="s">
        <v>227</v>
      </c>
      <c r="C562" s="19" t="s">
        <v>599</v>
      </c>
      <c r="D562" s="19" t="s">
        <v>95</v>
      </c>
      <c r="E562" s="20">
        <f>62.9+985.7</f>
        <v>1048.6000000000001</v>
      </c>
      <c r="F562" s="20">
        <v>0</v>
      </c>
      <c r="G562" s="20">
        <v>0</v>
      </c>
    </row>
    <row r="563" spans="1:7" outlineLevel="2" x14ac:dyDescent="0.25">
      <c r="A563" s="21" t="s">
        <v>144</v>
      </c>
      <c r="B563" s="19" t="s">
        <v>227</v>
      </c>
      <c r="C563" s="19" t="s">
        <v>216</v>
      </c>
      <c r="D563" s="19"/>
      <c r="E563" s="20">
        <f>E564+E593</f>
        <v>2678711.1</v>
      </c>
      <c r="F563" s="20">
        <f>F564+F593</f>
        <v>2605419.3999999994</v>
      </c>
      <c r="G563" s="20">
        <f>G564+G593</f>
        <v>2832623.7</v>
      </c>
    </row>
    <row r="564" spans="1:7" ht="63" outlineLevel="2" x14ac:dyDescent="0.25">
      <c r="A564" s="33" t="s">
        <v>495</v>
      </c>
      <c r="B564" s="19" t="s">
        <v>227</v>
      </c>
      <c r="C564" s="19" t="s">
        <v>217</v>
      </c>
      <c r="D564" s="10"/>
      <c r="E564" s="20">
        <f>E567+E569+E571+E573+E577+E581+E583+E585+E587+E565+E579+E589++E591+E575</f>
        <v>2670963.9</v>
      </c>
      <c r="F564" s="20">
        <f>F567+F569+F571+F573+F577+F581+F583+F585+F587+F565+F579+F589++F591</f>
        <v>2598606.2999999993</v>
      </c>
      <c r="G564" s="20">
        <f>G567+G569+G571+G573+G577+G581+G583+G585+G587+G565+G579+G589++G591</f>
        <v>2825810.6</v>
      </c>
    </row>
    <row r="565" spans="1:7" ht="78.75" outlineLevel="2" x14ac:dyDescent="0.25">
      <c r="A565" s="33" t="s">
        <v>234</v>
      </c>
      <c r="B565" s="19" t="s">
        <v>227</v>
      </c>
      <c r="C565" s="19" t="s">
        <v>619</v>
      </c>
      <c r="D565" s="19"/>
      <c r="E565" s="20">
        <f>E566</f>
        <v>186695.7</v>
      </c>
      <c r="F565" s="20">
        <f t="shared" ref="F565:G565" si="220">F566</f>
        <v>175684.4</v>
      </c>
      <c r="G565" s="20">
        <f t="shared" si="220"/>
        <v>171331.19999999998</v>
      </c>
    </row>
    <row r="566" spans="1:7" ht="47.25" outlineLevel="2" x14ac:dyDescent="0.25">
      <c r="A566" s="21" t="s">
        <v>94</v>
      </c>
      <c r="B566" s="19" t="s">
        <v>227</v>
      </c>
      <c r="C566" s="19" t="s">
        <v>619</v>
      </c>
      <c r="D566" s="19">
        <v>600</v>
      </c>
      <c r="E566" s="20">
        <f>186690.7+5</f>
        <v>186695.7</v>
      </c>
      <c r="F566" s="20">
        <v>175684.4</v>
      </c>
      <c r="G566" s="20">
        <v>171331.19999999998</v>
      </c>
    </row>
    <row r="567" spans="1:7" ht="63" outlineLevel="2" x14ac:dyDescent="0.25">
      <c r="A567" s="33" t="s">
        <v>235</v>
      </c>
      <c r="B567" s="19" t="s">
        <v>227</v>
      </c>
      <c r="C567" s="24" t="s">
        <v>236</v>
      </c>
      <c r="D567" s="54"/>
      <c r="E567" s="20">
        <f>E568</f>
        <v>39524.1</v>
      </c>
      <c r="F567" s="20">
        <f>F568</f>
        <v>35454.1</v>
      </c>
      <c r="G567" s="20">
        <f>G568</f>
        <v>35454.1</v>
      </c>
    </row>
    <row r="568" spans="1:7" ht="47.25" outlineLevel="2" x14ac:dyDescent="0.25">
      <c r="A568" s="21" t="s">
        <v>94</v>
      </c>
      <c r="B568" s="19" t="s">
        <v>227</v>
      </c>
      <c r="C568" s="24" t="s">
        <v>236</v>
      </c>
      <c r="D568" s="25">
        <v>600</v>
      </c>
      <c r="E568" s="20">
        <f>35454.1+4070</f>
        <v>39524.1</v>
      </c>
      <c r="F568" s="20">
        <v>35454.1</v>
      </c>
      <c r="G568" s="20">
        <v>35454.1</v>
      </c>
    </row>
    <row r="569" spans="1:7" ht="47.25" outlineLevel="2" x14ac:dyDescent="0.25">
      <c r="A569" s="9" t="s">
        <v>151</v>
      </c>
      <c r="B569" s="19" t="s">
        <v>227</v>
      </c>
      <c r="C569" s="19" t="s">
        <v>218</v>
      </c>
      <c r="D569" s="10"/>
      <c r="E569" s="20">
        <f>E570</f>
        <v>544267.5</v>
      </c>
      <c r="F569" s="20">
        <f t="shared" ref="F569:G569" si="221">F570</f>
        <v>349257.89999999997</v>
      </c>
      <c r="G569" s="20">
        <f t="shared" si="221"/>
        <v>371929.4</v>
      </c>
    </row>
    <row r="570" spans="1:7" ht="47.25" outlineLevel="2" x14ac:dyDescent="0.25">
      <c r="A570" s="21" t="s">
        <v>94</v>
      </c>
      <c r="B570" s="19" t="s">
        <v>227</v>
      </c>
      <c r="C570" s="19" t="s">
        <v>218</v>
      </c>
      <c r="D570" s="10">
        <v>600</v>
      </c>
      <c r="E570" s="20">
        <f>360069.6+160+1421.6+1114+15641.4+342+772.8+493.5+958.1+1502+129897.4+62.9+1322.9+30509.3</f>
        <v>544267.5</v>
      </c>
      <c r="F570" s="20">
        <f>365666.6-16408.7</f>
        <v>349257.89999999997</v>
      </c>
      <c r="G570" s="20">
        <f>372138.2-208.8</f>
        <v>371929.4</v>
      </c>
    </row>
    <row r="571" spans="1:7" ht="47.25" outlineLevel="2" x14ac:dyDescent="0.25">
      <c r="A571" s="33" t="s">
        <v>237</v>
      </c>
      <c r="B571" s="19" t="s">
        <v>227</v>
      </c>
      <c r="C571" s="19" t="s">
        <v>238</v>
      </c>
      <c r="D571" s="10"/>
      <c r="E571" s="20">
        <f>E572</f>
        <v>73083.399999999994</v>
      </c>
      <c r="F571" s="20">
        <f t="shared" ref="F571:G571" si="222">F572</f>
        <v>73083.399999999994</v>
      </c>
      <c r="G571" s="20">
        <f t="shared" si="222"/>
        <v>73083.399999999994</v>
      </c>
    </row>
    <row r="572" spans="1:7" ht="47.25" outlineLevel="2" x14ac:dyDescent="0.25">
      <c r="A572" s="21" t="s">
        <v>94</v>
      </c>
      <c r="B572" s="19" t="s">
        <v>227</v>
      </c>
      <c r="C572" s="19" t="s">
        <v>238</v>
      </c>
      <c r="D572" s="10">
        <v>600</v>
      </c>
      <c r="E572" s="20">
        <v>73083.399999999994</v>
      </c>
      <c r="F572" s="20">
        <v>73083.399999999994</v>
      </c>
      <c r="G572" s="20">
        <v>73083.399999999994</v>
      </c>
    </row>
    <row r="573" spans="1:7" ht="63" outlineLevel="2" x14ac:dyDescent="0.25">
      <c r="A573" s="33" t="s">
        <v>239</v>
      </c>
      <c r="B573" s="19" t="s">
        <v>227</v>
      </c>
      <c r="C573" s="24" t="s">
        <v>240</v>
      </c>
      <c r="D573" s="54"/>
      <c r="E573" s="20">
        <f>E574</f>
        <v>798</v>
      </c>
      <c r="F573" s="20">
        <f t="shared" ref="F573:G573" si="223">F574</f>
        <v>1000</v>
      </c>
      <c r="G573" s="20">
        <f t="shared" si="223"/>
        <v>1000</v>
      </c>
    </row>
    <row r="574" spans="1:7" ht="47.25" outlineLevel="2" x14ac:dyDescent="0.25">
      <c r="A574" s="21" t="s">
        <v>94</v>
      </c>
      <c r="B574" s="19" t="s">
        <v>227</v>
      </c>
      <c r="C574" s="24" t="s">
        <v>240</v>
      </c>
      <c r="D574" s="25">
        <v>600</v>
      </c>
      <c r="E574" s="20">
        <f>1000-202</f>
        <v>798</v>
      </c>
      <c r="F574" s="20">
        <v>1000</v>
      </c>
      <c r="G574" s="20">
        <v>1000</v>
      </c>
    </row>
    <row r="575" spans="1:7" ht="110.25" outlineLevel="2" x14ac:dyDescent="0.25">
      <c r="A575" s="21" t="s">
        <v>734</v>
      </c>
      <c r="B575" s="19" t="s">
        <v>227</v>
      </c>
      <c r="C575" s="19" t="s">
        <v>735</v>
      </c>
      <c r="D575" s="19"/>
      <c r="E575" s="20">
        <f>E576</f>
        <v>100</v>
      </c>
      <c r="F575" s="20">
        <f t="shared" ref="F575:G575" si="224">F576</f>
        <v>0</v>
      </c>
      <c r="G575" s="20">
        <f t="shared" si="224"/>
        <v>0</v>
      </c>
    </row>
    <row r="576" spans="1:7" ht="47.25" outlineLevel="2" x14ac:dyDescent="0.25">
      <c r="A576" s="21" t="s">
        <v>94</v>
      </c>
      <c r="B576" s="19" t="s">
        <v>227</v>
      </c>
      <c r="C576" s="19" t="s">
        <v>735</v>
      </c>
      <c r="D576" s="19">
        <v>600</v>
      </c>
      <c r="E576" s="20">
        <v>100</v>
      </c>
      <c r="F576" s="20">
        <v>0</v>
      </c>
      <c r="G576" s="20">
        <v>0</v>
      </c>
    </row>
    <row r="577" spans="1:7" ht="78.75" outlineLevel="2" x14ac:dyDescent="0.25">
      <c r="A577" s="33" t="s">
        <v>241</v>
      </c>
      <c r="B577" s="19" t="s">
        <v>227</v>
      </c>
      <c r="C577" s="24" t="s">
        <v>242</v>
      </c>
      <c r="D577" s="25"/>
      <c r="E577" s="20">
        <f>E578</f>
        <v>7812.3000000000011</v>
      </c>
      <c r="F577" s="20">
        <f t="shared" ref="F577:G577" si="225">F578</f>
        <v>8382.2000000000007</v>
      </c>
      <c r="G577" s="20">
        <f t="shared" si="225"/>
        <v>8382.2000000000007</v>
      </c>
    </row>
    <row r="578" spans="1:7" ht="47.25" outlineLevel="2" x14ac:dyDescent="0.25">
      <c r="A578" s="21" t="s">
        <v>94</v>
      </c>
      <c r="B578" s="19" t="s">
        <v>227</v>
      </c>
      <c r="C578" s="24" t="s">
        <v>242</v>
      </c>
      <c r="D578" s="25">
        <v>600</v>
      </c>
      <c r="E578" s="20">
        <f>415.6+6510.9+0.1+53.1+832.6</f>
        <v>7812.3000000000011</v>
      </c>
      <c r="F578" s="20">
        <v>8382.2000000000007</v>
      </c>
      <c r="G578" s="20">
        <v>8382.2000000000007</v>
      </c>
    </row>
    <row r="579" spans="1:7" ht="141.75" outlineLevel="2" x14ac:dyDescent="0.25">
      <c r="A579" s="33" t="s">
        <v>620</v>
      </c>
      <c r="B579" s="19" t="s">
        <v>227</v>
      </c>
      <c r="C579" s="19" t="s">
        <v>621</v>
      </c>
      <c r="D579" s="19"/>
      <c r="E579" s="20">
        <f>E580</f>
        <v>190.3</v>
      </c>
      <c r="F579" s="20">
        <f t="shared" ref="F579:G579" si="226">F580</f>
        <v>190.3</v>
      </c>
      <c r="G579" s="20">
        <f t="shared" si="226"/>
        <v>190.3</v>
      </c>
    </row>
    <row r="580" spans="1:7" ht="47.25" outlineLevel="2" x14ac:dyDescent="0.25">
      <c r="A580" s="21" t="s">
        <v>94</v>
      </c>
      <c r="B580" s="19" t="s">
        <v>227</v>
      </c>
      <c r="C580" s="19" t="s">
        <v>621</v>
      </c>
      <c r="D580" s="19" t="s">
        <v>95</v>
      </c>
      <c r="E580" s="20">
        <v>190.3</v>
      </c>
      <c r="F580" s="20">
        <v>190.3</v>
      </c>
      <c r="G580" s="20">
        <v>190.3</v>
      </c>
    </row>
    <row r="581" spans="1:7" ht="157.5" outlineLevel="2" x14ac:dyDescent="0.25">
      <c r="A581" s="33" t="s">
        <v>244</v>
      </c>
      <c r="B581" s="19" t="s">
        <v>227</v>
      </c>
      <c r="C581" s="31" t="s">
        <v>245</v>
      </c>
      <c r="D581" s="2"/>
      <c r="E581" s="20">
        <f>E582</f>
        <v>8432</v>
      </c>
      <c r="F581" s="20">
        <f t="shared" ref="F581:G581" si="227">F582</f>
        <v>8630.1999999999989</v>
      </c>
      <c r="G581" s="20">
        <f t="shared" si="227"/>
        <v>8630.2000000000007</v>
      </c>
    </row>
    <row r="582" spans="1:7" ht="47.25" outlineLevel="2" x14ac:dyDescent="0.25">
      <c r="A582" s="21" t="s">
        <v>94</v>
      </c>
      <c r="B582" s="19" t="s">
        <v>227</v>
      </c>
      <c r="C582" s="31" t="s">
        <v>245</v>
      </c>
      <c r="D582" s="2">
        <v>600</v>
      </c>
      <c r="E582" s="20">
        <f>8315.2+116.8</f>
        <v>8432</v>
      </c>
      <c r="F582" s="20">
        <v>8630.1999999999989</v>
      </c>
      <c r="G582" s="20">
        <v>8630.2000000000007</v>
      </c>
    </row>
    <row r="583" spans="1:7" ht="94.5" outlineLevel="2" x14ac:dyDescent="0.25">
      <c r="A583" s="33" t="s">
        <v>246</v>
      </c>
      <c r="B583" s="19" t="s">
        <v>227</v>
      </c>
      <c r="C583" s="19" t="s">
        <v>247</v>
      </c>
      <c r="D583" s="10"/>
      <c r="E583" s="20">
        <f>E584</f>
        <v>198</v>
      </c>
      <c r="F583" s="20">
        <f t="shared" ref="F583:G583" si="228">F584</f>
        <v>198</v>
      </c>
      <c r="G583" s="20">
        <f t="shared" si="228"/>
        <v>198</v>
      </c>
    </row>
    <row r="584" spans="1:7" ht="47.25" outlineLevel="2" x14ac:dyDescent="0.25">
      <c r="A584" s="18" t="s">
        <v>94</v>
      </c>
      <c r="B584" s="19" t="s">
        <v>227</v>
      </c>
      <c r="C584" s="19" t="s">
        <v>247</v>
      </c>
      <c r="D584" s="10">
        <v>600</v>
      </c>
      <c r="E584" s="20">
        <f>183.8+14.2</f>
        <v>198</v>
      </c>
      <c r="F584" s="20">
        <v>198</v>
      </c>
      <c r="G584" s="20">
        <v>198</v>
      </c>
    </row>
    <row r="585" spans="1:7" ht="204.75" outlineLevel="2" x14ac:dyDescent="0.25">
      <c r="A585" s="33" t="s">
        <v>221</v>
      </c>
      <c r="B585" s="19" t="s">
        <v>227</v>
      </c>
      <c r="C585" s="19" t="s">
        <v>222</v>
      </c>
      <c r="D585" s="19"/>
      <c r="E585" s="20">
        <f>E586</f>
        <v>1778140.5</v>
      </c>
      <c r="F585" s="20">
        <f t="shared" ref="F585:G585" si="229">F586</f>
        <v>1919825.4</v>
      </c>
      <c r="G585" s="20">
        <f t="shared" si="229"/>
        <v>2128754.9</v>
      </c>
    </row>
    <row r="586" spans="1:7" ht="47.25" outlineLevel="2" x14ac:dyDescent="0.25">
      <c r="A586" s="21" t="s">
        <v>94</v>
      </c>
      <c r="B586" s="19" t="s">
        <v>227</v>
      </c>
      <c r="C586" s="19" t="s">
        <v>222</v>
      </c>
      <c r="D586" s="19" t="s">
        <v>95</v>
      </c>
      <c r="E586" s="20">
        <f>1557554.9+220585.6</f>
        <v>1778140.5</v>
      </c>
      <c r="F586" s="20">
        <v>1919825.4</v>
      </c>
      <c r="G586" s="20">
        <v>2128754.9</v>
      </c>
    </row>
    <row r="587" spans="1:7" ht="189" outlineLevel="2" x14ac:dyDescent="0.25">
      <c r="A587" s="33" t="s">
        <v>248</v>
      </c>
      <c r="B587" s="19" t="s">
        <v>227</v>
      </c>
      <c r="C587" s="19" t="s">
        <v>249</v>
      </c>
      <c r="D587" s="19"/>
      <c r="E587" s="20">
        <f>E588</f>
        <v>24899.800000000003</v>
      </c>
      <c r="F587" s="20">
        <f t="shared" ref="F587:G587" si="230">F588</f>
        <v>24894.600000000002</v>
      </c>
      <c r="G587" s="20">
        <f t="shared" si="230"/>
        <v>24894.600000000002</v>
      </c>
    </row>
    <row r="588" spans="1:7" ht="47.25" outlineLevel="2" x14ac:dyDescent="0.25">
      <c r="A588" s="21" t="s">
        <v>94</v>
      </c>
      <c r="B588" s="19" t="s">
        <v>227</v>
      </c>
      <c r="C588" s="19" t="s">
        <v>249</v>
      </c>
      <c r="D588" s="19" t="s">
        <v>95</v>
      </c>
      <c r="E588" s="20">
        <f>18932.9+5961.7+5.3-0.1</f>
        <v>24899.800000000003</v>
      </c>
      <c r="F588" s="20">
        <v>24894.600000000002</v>
      </c>
      <c r="G588" s="20">
        <v>24894.600000000002</v>
      </c>
    </row>
    <row r="589" spans="1:7" ht="141.75" outlineLevel="2" x14ac:dyDescent="0.25">
      <c r="A589" s="21" t="s">
        <v>267</v>
      </c>
      <c r="B589" s="19" t="s">
        <v>227</v>
      </c>
      <c r="C589" s="19" t="s">
        <v>268</v>
      </c>
      <c r="D589" s="19"/>
      <c r="E589" s="20">
        <f>E590</f>
        <v>2162.6</v>
      </c>
      <c r="F589" s="20">
        <f t="shared" ref="F589:G589" si="231">F590</f>
        <v>2005.8</v>
      </c>
      <c r="G589" s="20">
        <f t="shared" si="231"/>
        <v>1962.3</v>
      </c>
    </row>
    <row r="590" spans="1:7" ht="47.25" outlineLevel="2" x14ac:dyDescent="0.25">
      <c r="A590" s="21" t="s">
        <v>94</v>
      </c>
      <c r="B590" s="19" t="s">
        <v>227</v>
      </c>
      <c r="C590" s="19" t="s">
        <v>268</v>
      </c>
      <c r="D590" s="19" t="s">
        <v>95</v>
      </c>
      <c r="E590" s="20">
        <f>2156.3+0.2+6.1</f>
        <v>2162.6</v>
      </c>
      <c r="F590" s="20">
        <v>2005.8</v>
      </c>
      <c r="G590" s="20">
        <v>1962.3</v>
      </c>
    </row>
    <row r="591" spans="1:7" ht="204.75" outlineLevel="2" x14ac:dyDescent="0.25">
      <c r="A591" s="21" t="s">
        <v>622</v>
      </c>
      <c r="B591" s="19" t="s">
        <v>227</v>
      </c>
      <c r="C591" s="19" t="s">
        <v>623</v>
      </c>
      <c r="D591" s="19"/>
      <c r="E591" s="20">
        <f>E592</f>
        <v>4659.7</v>
      </c>
      <c r="F591" s="20">
        <f t="shared" ref="F591:G591" si="232">F592</f>
        <v>0</v>
      </c>
      <c r="G591" s="20">
        <f t="shared" si="232"/>
        <v>0</v>
      </c>
    </row>
    <row r="592" spans="1:7" ht="47.25" outlineLevel="2" x14ac:dyDescent="0.25">
      <c r="A592" s="21" t="s">
        <v>94</v>
      </c>
      <c r="B592" s="19" t="s">
        <v>227</v>
      </c>
      <c r="C592" s="19" t="s">
        <v>623</v>
      </c>
      <c r="D592" s="19" t="s">
        <v>95</v>
      </c>
      <c r="E592" s="20">
        <f>4042.3+6.2+611.2</f>
        <v>4659.7</v>
      </c>
      <c r="F592" s="20">
        <v>0</v>
      </c>
      <c r="G592" s="20">
        <v>0</v>
      </c>
    </row>
    <row r="593" spans="1:7" ht="63" outlineLevel="2" x14ac:dyDescent="0.25">
      <c r="A593" s="33" t="s">
        <v>489</v>
      </c>
      <c r="B593" s="19" t="s">
        <v>227</v>
      </c>
      <c r="C593" s="19" t="s">
        <v>223</v>
      </c>
      <c r="D593" s="10"/>
      <c r="E593" s="20">
        <f>E594+E598+E600+E602+E596</f>
        <v>7747.2</v>
      </c>
      <c r="F593" s="20">
        <f t="shared" ref="F593:G593" si="233">F594+F598+F600+F602</f>
        <v>6813.1</v>
      </c>
      <c r="G593" s="20">
        <f t="shared" si="233"/>
        <v>6813.1</v>
      </c>
    </row>
    <row r="594" spans="1:7" ht="31.5" outlineLevel="2" x14ac:dyDescent="0.25">
      <c r="A594" s="42" t="s">
        <v>250</v>
      </c>
      <c r="B594" s="24" t="s">
        <v>227</v>
      </c>
      <c r="C594" s="24" t="s">
        <v>251</v>
      </c>
      <c r="D594" s="25"/>
      <c r="E594" s="20">
        <f>E595</f>
        <v>1432.2</v>
      </c>
      <c r="F594" s="20">
        <f t="shared" ref="F594:G594" si="234">F595</f>
        <v>813.7</v>
      </c>
      <c r="G594" s="20">
        <f t="shared" si="234"/>
        <v>813.7</v>
      </c>
    </row>
    <row r="595" spans="1:7" ht="47.25" outlineLevel="2" x14ac:dyDescent="0.25">
      <c r="A595" s="21" t="s">
        <v>94</v>
      </c>
      <c r="B595" s="24" t="s">
        <v>227</v>
      </c>
      <c r="C595" s="24" t="s">
        <v>251</v>
      </c>
      <c r="D595" s="25">
        <v>600</v>
      </c>
      <c r="E595" s="20">
        <f>813.7+455.7+162.8</f>
        <v>1432.2</v>
      </c>
      <c r="F595" s="20">
        <v>813.7</v>
      </c>
      <c r="G595" s="20">
        <v>813.7</v>
      </c>
    </row>
    <row r="596" spans="1:7" ht="31.5" outlineLevel="2" x14ac:dyDescent="0.25">
      <c r="A596" s="33" t="s">
        <v>280</v>
      </c>
      <c r="B596" s="19" t="s">
        <v>227</v>
      </c>
      <c r="C596" s="19" t="s">
        <v>281</v>
      </c>
      <c r="D596" s="19"/>
      <c r="E596" s="20">
        <f>E597</f>
        <v>655.7</v>
      </c>
      <c r="F596" s="20">
        <f t="shared" ref="F596:G596" si="235">F597</f>
        <v>0</v>
      </c>
      <c r="G596" s="20">
        <f t="shared" si="235"/>
        <v>0</v>
      </c>
    </row>
    <row r="597" spans="1:7" ht="47.25" outlineLevel="2" x14ac:dyDescent="0.25">
      <c r="A597" s="21" t="s">
        <v>94</v>
      </c>
      <c r="B597" s="19" t="s">
        <v>227</v>
      </c>
      <c r="C597" s="19" t="s">
        <v>281</v>
      </c>
      <c r="D597" s="19">
        <v>600</v>
      </c>
      <c r="E597" s="20">
        <f>5.7+650</f>
        <v>655.7</v>
      </c>
      <c r="F597" s="20">
        <v>0</v>
      </c>
      <c r="G597" s="20">
        <v>0</v>
      </c>
    </row>
    <row r="598" spans="1:7" ht="47.25" outlineLevel="2" x14ac:dyDescent="0.25">
      <c r="A598" s="30" t="s">
        <v>252</v>
      </c>
      <c r="B598" s="19" t="s">
        <v>227</v>
      </c>
      <c r="C598" s="24" t="s">
        <v>253</v>
      </c>
      <c r="D598" s="54"/>
      <c r="E598" s="20">
        <f>E599</f>
        <v>1010</v>
      </c>
      <c r="F598" s="20">
        <f t="shared" ref="F598:G598" si="236">F599</f>
        <v>660</v>
      </c>
      <c r="G598" s="20">
        <f t="shared" si="236"/>
        <v>660</v>
      </c>
    </row>
    <row r="599" spans="1:7" ht="47.25" outlineLevel="2" x14ac:dyDescent="0.25">
      <c r="A599" s="21" t="s">
        <v>94</v>
      </c>
      <c r="B599" s="19" t="s">
        <v>227</v>
      </c>
      <c r="C599" s="24" t="s">
        <v>253</v>
      </c>
      <c r="D599" s="25">
        <v>600</v>
      </c>
      <c r="E599" s="20">
        <f>624+36+350</f>
        <v>1010</v>
      </c>
      <c r="F599" s="20">
        <v>660</v>
      </c>
      <c r="G599" s="20">
        <v>660</v>
      </c>
    </row>
    <row r="600" spans="1:7" ht="47.25" outlineLevel="2" x14ac:dyDescent="0.25">
      <c r="A600" s="30" t="s">
        <v>254</v>
      </c>
      <c r="B600" s="24" t="s">
        <v>227</v>
      </c>
      <c r="C600" s="24" t="s">
        <v>225</v>
      </c>
      <c r="D600" s="25"/>
      <c r="E600" s="20">
        <f>E601</f>
        <v>2539.4</v>
      </c>
      <c r="F600" s="20">
        <f t="shared" ref="F600:G600" si="237">F601</f>
        <v>2539.4</v>
      </c>
      <c r="G600" s="20">
        <f t="shared" si="237"/>
        <v>2539.4</v>
      </c>
    </row>
    <row r="601" spans="1:7" ht="47.25" outlineLevel="2" x14ac:dyDescent="0.25">
      <c r="A601" s="21" t="s">
        <v>94</v>
      </c>
      <c r="B601" s="24" t="s">
        <v>227</v>
      </c>
      <c r="C601" s="24" t="s">
        <v>225</v>
      </c>
      <c r="D601" s="25">
        <v>600</v>
      </c>
      <c r="E601" s="20">
        <v>2539.4</v>
      </c>
      <c r="F601" s="20">
        <v>2539.4</v>
      </c>
      <c r="G601" s="20">
        <v>2539.4</v>
      </c>
    </row>
    <row r="602" spans="1:7" ht="126" outlineLevel="2" x14ac:dyDescent="0.25">
      <c r="A602" s="33" t="s">
        <v>255</v>
      </c>
      <c r="B602" s="24" t="s">
        <v>227</v>
      </c>
      <c r="C602" s="24" t="s">
        <v>256</v>
      </c>
      <c r="D602" s="25"/>
      <c r="E602" s="20">
        <f>E603</f>
        <v>2109.9</v>
      </c>
      <c r="F602" s="20">
        <f t="shared" ref="F602:G602" si="238">F603</f>
        <v>2800</v>
      </c>
      <c r="G602" s="20">
        <f t="shared" si="238"/>
        <v>2800</v>
      </c>
    </row>
    <row r="603" spans="1:7" ht="31.5" outlineLevel="2" x14ac:dyDescent="0.25">
      <c r="A603" s="21" t="s">
        <v>20</v>
      </c>
      <c r="B603" s="24" t="s">
        <v>227</v>
      </c>
      <c r="C603" s="24" t="s">
        <v>256</v>
      </c>
      <c r="D603" s="25">
        <v>300</v>
      </c>
      <c r="E603" s="20">
        <f>2800-690.1</f>
        <v>2109.9</v>
      </c>
      <c r="F603" s="20">
        <v>2800</v>
      </c>
      <c r="G603" s="20">
        <v>2800</v>
      </c>
    </row>
    <row r="604" spans="1:7" outlineLevel="1" x14ac:dyDescent="0.25">
      <c r="A604" s="21" t="s">
        <v>257</v>
      </c>
      <c r="B604" s="24" t="s">
        <v>258</v>
      </c>
      <c r="C604" s="24"/>
      <c r="D604" s="25"/>
      <c r="E604" s="20">
        <f>E605+E622</f>
        <v>509109.89999999997</v>
      </c>
      <c r="F604" s="20">
        <f t="shared" ref="F604:G604" si="239">F605+F622</f>
        <v>491860.8</v>
      </c>
      <c r="G604" s="20">
        <f t="shared" si="239"/>
        <v>509749.5</v>
      </c>
    </row>
    <row r="605" spans="1:7" ht="31.5" outlineLevel="2" x14ac:dyDescent="0.25">
      <c r="A605" s="21" t="s">
        <v>209</v>
      </c>
      <c r="B605" s="19" t="s">
        <v>258</v>
      </c>
      <c r="C605" s="19" t="s">
        <v>210</v>
      </c>
      <c r="D605" s="55"/>
      <c r="E605" s="20">
        <f>E610+E606</f>
        <v>311589.89999999997</v>
      </c>
      <c r="F605" s="20">
        <f t="shared" ref="F605:G605" si="240">F610+F606</f>
        <v>293286.5</v>
      </c>
      <c r="G605" s="20">
        <f t="shared" si="240"/>
        <v>301110.3</v>
      </c>
    </row>
    <row r="606" spans="1:7" ht="31.5" outlineLevel="2" x14ac:dyDescent="0.25">
      <c r="A606" s="21" t="s">
        <v>155</v>
      </c>
      <c r="B606" s="19" t="s">
        <v>258</v>
      </c>
      <c r="C606" s="19" t="s">
        <v>211</v>
      </c>
      <c r="D606" s="19"/>
      <c r="E606" s="20">
        <f>E607</f>
        <v>24262</v>
      </c>
      <c r="F606" s="20">
        <f t="shared" ref="F606:G608" si="241">F607</f>
        <v>0</v>
      </c>
      <c r="G606" s="20">
        <f t="shared" si="241"/>
        <v>0</v>
      </c>
    </row>
    <row r="607" spans="1:7" ht="47.25" outlineLevel="2" x14ac:dyDescent="0.25">
      <c r="A607" s="23" t="s">
        <v>212</v>
      </c>
      <c r="B607" s="19" t="s">
        <v>258</v>
      </c>
      <c r="C607" s="19" t="s">
        <v>213</v>
      </c>
      <c r="D607" s="19"/>
      <c r="E607" s="20">
        <f>E608</f>
        <v>24262</v>
      </c>
      <c r="F607" s="20">
        <f t="shared" si="241"/>
        <v>0</v>
      </c>
      <c r="G607" s="20">
        <f t="shared" si="241"/>
        <v>0</v>
      </c>
    </row>
    <row r="608" spans="1:7" ht="78.75" outlineLevel="2" x14ac:dyDescent="0.25">
      <c r="A608" s="21" t="s">
        <v>749</v>
      </c>
      <c r="B608" s="19" t="s">
        <v>258</v>
      </c>
      <c r="C608" s="19" t="s">
        <v>750</v>
      </c>
      <c r="D608" s="19"/>
      <c r="E608" s="20">
        <f>E609</f>
        <v>24262</v>
      </c>
      <c r="F608" s="20">
        <f t="shared" si="241"/>
        <v>0</v>
      </c>
      <c r="G608" s="20">
        <f t="shared" si="241"/>
        <v>0</v>
      </c>
    </row>
    <row r="609" spans="1:7" ht="47.25" outlineLevel="2" x14ac:dyDescent="0.25">
      <c r="A609" s="21" t="s">
        <v>94</v>
      </c>
      <c r="B609" s="19" t="s">
        <v>258</v>
      </c>
      <c r="C609" s="19" t="s">
        <v>750</v>
      </c>
      <c r="D609" s="19" t="s">
        <v>95</v>
      </c>
      <c r="E609" s="20">
        <v>24262</v>
      </c>
      <c r="F609" s="20">
        <v>0</v>
      </c>
      <c r="G609" s="20">
        <v>0</v>
      </c>
    </row>
    <row r="610" spans="1:7" outlineLevel="2" x14ac:dyDescent="0.25">
      <c r="A610" s="21" t="s">
        <v>144</v>
      </c>
      <c r="B610" s="19" t="s">
        <v>258</v>
      </c>
      <c r="C610" s="19" t="s">
        <v>216</v>
      </c>
      <c r="D610" s="55"/>
      <c r="E610" s="20">
        <f>E611+E619</f>
        <v>287327.89999999997</v>
      </c>
      <c r="F610" s="20">
        <f t="shared" ref="F610:G610" si="242">F611+F619</f>
        <v>293286.5</v>
      </c>
      <c r="G610" s="20">
        <f t="shared" si="242"/>
        <v>301110.3</v>
      </c>
    </row>
    <row r="611" spans="1:7" ht="63" outlineLevel="2" x14ac:dyDescent="0.25">
      <c r="A611" s="33" t="s">
        <v>495</v>
      </c>
      <c r="B611" s="19" t="s">
        <v>258</v>
      </c>
      <c r="C611" s="19" t="s">
        <v>217</v>
      </c>
      <c r="D611" s="55"/>
      <c r="E611" s="20">
        <f>E612+E614+E617</f>
        <v>287262.8</v>
      </c>
      <c r="F611" s="20">
        <f t="shared" ref="F611:G611" si="243">F612+F614+F617</f>
        <v>293286.5</v>
      </c>
      <c r="G611" s="20">
        <f t="shared" si="243"/>
        <v>301110.3</v>
      </c>
    </row>
    <row r="612" spans="1:7" ht="47.25" outlineLevel="2" x14ac:dyDescent="0.25">
      <c r="A612" s="9" t="s">
        <v>151</v>
      </c>
      <c r="B612" s="19" t="s">
        <v>258</v>
      </c>
      <c r="C612" s="19" t="s">
        <v>218</v>
      </c>
      <c r="D612" s="10"/>
      <c r="E612" s="20">
        <f>E613</f>
        <v>178459.7</v>
      </c>
      <c r="F612" s="20">
        <f t="shared" ref="F612:G612" si="244">F613</f>
        <v>179767.8</v>
      </c>
      <c r="G612" s="20">
        <f t="shared" si="244"/>
        <v>187417.2</v>
      </c>
    </row>
    <row r="613" spans="1:7" ht="47.25" outlineLevel="2" x14ac:dyDescent="0.25">
      <c r="A613" s="21" t="s">
        <v>94</v>
      </c>
      <c r="B613" s="19" t="s">
        <v>258</v>
      </c>
      <c r="C613" s="19" t="s">
        <v>218</v>
      </c>
      <c r="D613" s="10">
        <v>600</v>
      </c>
      <c r="E613" s="20">
        <f>177633.2-81.2-3852.7+7292.4+1360+881.7-166+4685.1-18228+8935.2</f>
        <v>178459.7</v>
      </c>
      <c r="F613" s="20">
        <f>184818-5050.2</f>
        <v>179767.8</v>
      </c>
      <c r="G613" s="20">
        <f>192586-62-5106.8</f>
        <v>187417.2</v>
      </c>
    </row>
    <row r="614" spans="1:7" ht="47.25" outlineLevel="2" x14ac:dyDescent="0.25">
      <c r="A614" s="33" t="s">
        <v>259</v>
      </c>
      <c r="B614" s="19" t="s">
        <v>258</v>
      </c>
      <c r="C614" s="19" t="s">
        <v>260</v>
      </c>
      <c r="D614" s="10"/>
      <c r="E614" s="20">
        <f>E615+E616</f>
        <v>108483</v>
      </c>
      <c r="F614" s="20">
        <f t="shared" ref="F614:G614" si="245">F615+F616</f>
        <v>113198.6</v>
      </c>
      <c r="G614" s="20">
        <f t="shared" si="245"/>
        <v>113373</v>
      </c>
    </row>
    <row r="615" spans="1:7" ht="47.25" outlineLevel="2" x14ac:dyDescent="0.25">
      <c r="A615" s="21" t="s">
        <v>94</v>
      </c>
      <c r="B615" s="19" t="s">
        <v>258</v>
      </c>
      <c r="C615" s="19" t="s">
        <v>260</v>
      </c>
      <c r="D615" s="10">
        <v>600</v>
      </c>
      <c r="E615" s="20">
        <f>108401.8-5800+81.2+2000+160</f>
        <v>104843</v>
      </c>
      <c r="F615" s="20">
        <f>113198.6-6110</f>
        <v>107088.6</v>
      </c>
      <c r="G615" s="20">
        <f>113373-6110</f>
        <v>107263</v>
      </c>
    </row>
    <row r="616" spans="1:7" outlineLevel="2" x14ac:dyDescent="0.25">
      <c r="A616" s="18" t="s">
        <v>33</v>
      </c>
      <c r="B616" s="19" t="s">
        <v>258</v>
      </c>
      <c r="C616" s="19" t="s">
        <v>260</v>
      </c>
      <c r="D616" s="10">
        <v>800</v>
      </c>
      <c r="E616" s="20">
        <f>5800-2000-160</f>
        <v>3640</v>
      </c>
      <c r="F616" s="20">
        <v>6110</v>
      </c>
      <c r="G616" s="20">
        <v>6110</v>
      </c>
    </row>
    <row r="617" spans="1:7" ht="126" outlineLevel="2" x14ac:dyDescent="0.25">
      <c r="A617" s="33" t="s">
        <v>261</v>
      </c>
      <c r="B617" s="19" t="s">
        <v>258</v>
      </c>
      <c r="C617" s="19" t="s">
        <v>262</v>
      </c>
      <c r="D617" s="10"/>
      <c r="E617" s="20">
        <f>E618</f>
        <v>320.10000000000002</v>
      </c>
      <c r="F617" s="20">
        <f t="shared" ref="F617:G617" si="246">F618</f>
        <v>320.10000000000002</v>
      </c>
      <c r="G617" s="20">
        <f t="shared" si="246"/>
        <v>320.10000000000002</v>
      </c>
    </row>
    <row r="618" spans="1:7" ht="47.25" outlineLevel="2" x14ac:dyDescent="0.25">
      <c r="A618" s="21" t="s">
        <v>94</v>
      </c>
      <c r="B618" s="19" t="s">
        <v>258</v>
      </c>
      <c r="C618" s="19" t="s">
        <v>262</v>
      </c>
      <c r="D618" s="10">
        <v>600</v>
      </c>
      <c r="E618" s="20">
        <v>320.10000000000002</v>
      </c>
      <c r="F618" s="20">
        <v>320.10000000000002</v>
      </c>
      <c r="G618" s="20">
        <v>320.10000000000002</v>
      </c>
    </row>
    <row r="619" spans="1:7" ht="63" outlineLevel="2" x14ac:dyDescent="0.25">
      <c r="A619" s="23" t="s">
        <v>489</v>
      </c>
      <c r="B619" s="19" t="s">
        <v>258</v>
      </c>
      <c r="C619" s="19" t="s">
        <v>223</v>
      </c>
      <c r="D619" s="19"/>
      <c r="E619" s="20">
        <f>E620</f>
        <v>65.099999999999994</v>
      </c>
      <c r="F619" s="20">
        <f t="shared" ref="F619:G620" si="247">F620</f>
        <v>0</v>
      </c>
      <c r="G619" s="20">
        <f t="shared" si="247"/>
        <v>0</v>
      </c>
    </row>
    <row r="620" spans="1:7" ht="31.5" outlineLevel="2" x14ac:dyDescent="0.25">
      <c r="A620" s="9" t="s">
        <v>250</v>
      </c>
      <c r="B620" s="19" t="s">
        <v>258</v>
      </c>
      <c r="C620" s="19" t="s">
        <v>251</v>
      </c>
      <c r="D620" s="19"/>
      <c r="E620" s="20">
        <f>E621</f>
        <v>65.099999999999994</v>
      </c>
      <c r="F620" s="20">
        <f t="shared" si="247"/>
        <v>0</v>
      </c>
      <c r="G620" s="20">
        <f t="shared" si="247"/>
        <v>0</v>
      </c>
    </row>
    <row r="621" spans="1:7" ht="47.25" outlineLevel="2" x14ac:dyDescent="0.25">
      <c r="A621" s="21" t="s">
        <v>94</v>
      </c>
      <c r="B621" s="19" t="s">
        <v>258</v>
      </c>
      <c r="C621" s="19" t="s">
        <v>251</v>
      </c>
      <c r="D621" s="19">
        <v>600</v>
      </c>
      <c r="E621" s="20">
        <v>65.099999999999994</v>
      </c>
      <c r="F621" s="20">
        <v>0</v>
      </c>
      <c r="G621" s="20">
        <v>0</v>
      </c>
    </row>
    <row r="622" spans="1:7" ht="31.5" outlineLevel="2" x14ac:dyDescent="0.25">
      <c r="A622" s="21" t="s">
        <v>153</v>
      </c>
      <c r="B622" s="31" t="s">
        <v>258</v>
      </c>
      <c r="C622" s="31" t="s">
        <v>96</v>
      </c>
      <c r="D622" s="2"/>
      <c r="E622" s="20">
        <f t="shared" ref="E622:G625" si="248">E623</f>
        <v>197520</v>
      </c>
      <c r="F622" s="20">
        <f t="shared" si="248"/>
        <v>198574.3</v>
      </c>
      <c r="G622" s="20">
        <f t="shared" si="248"/>
        <v>208639.2</v>
      </c>
    </row>
    <row r="623" spans="1:7" outlineLevel="2" x14ac:dyDescent="0.25">
      <c r="A623" s="21" t="s">
        <v>144</v>
      </c>
      <c r="B623" s="31" t="s">
        <v>258</v>
      </c>
      <c r="C623" s="31" t="s">
        <v>107</v>
      </c>
      <c r="D623" s="2"/>
      <c r="E623" s="20">
        <f t="shared" si="248"/>
        <v>197520</v>
      </c>
      <c r="F623" s="20">
        <f t="shared" si="248"/>
        <v>198574.3</v>
      </c>
      <c r="G623" s="20">
        <f t="shared" si="248"/>
        <v>208639.2</v>
      </c>
    </row>
    <row r="624" spans="1:7" ht="78.75" outlineLevel="2" x14ac:dyDescent="0.25">
      <c r="A624" s="21" t="s">
        <v>154</v>
      </c>
      <c r="B624" s="31" t="s">
        <v>258</v>
      </c>
      <c r="C624" s="31" t="s">
        <v>108</v>
      </c>
      <c r="D624" s="31"/>
      <c r="E624" s="20">
        <f t="shared" si="248"/>
        <v>197520</v>
      </c>
      <c r="F624" s="20">
        <f t="shared" si="248"/>
        <v>198574.3</v>
      </c>
      <c r="G624" s="20">
        <f t="shared" si="248"/>
        <v>208639.2</v>
      </c>
    </row>
    <row r="625" spans="1:7" ht="47.25" outlineLevel="2" x14ac:dyDescent="0.25">
      <c r="A625" s="21" t="s">
        <v>151</v>
      </c>
      <c r="B625" s="31" t="s">
        <v>258</v>
      </c>
      <c r="C625" s="31" t="s">
        <v>109</v>
      </c>
      <c r="D625" s="31"/>
      <c r="E625" s="20">
        <f t="shared" si="248"/>
        <v>197520</v>
      </c>
      <c r="F625" s="20">
        <f t="shared" si="248"/>
        <v>198574.3</v>
      </c>
      <c r="G625" s="20">
        <f t="shared" si="248"/>
        <v>208639.2</v>
      </c>
    </row>
    <row r="626" spans="1:7" ht="47.25" outlineLevel="2" x14ac:dyDescent="0.25">
      <c r="A626" s="21" t="s">
        <v>94</v>
      </c>
      <c r="B626" s="31" t="s">
        <v>258</v>
      </c>
      <c r="C626" s="31" t="s">
        <v>109</v>
      </c>
      <c r="D626" s="31" t="s">
        <v>95</v>
      </c>
      <c r="E626" s="20">
        <f>193853.6+400+2005.9+1049.3+211.1+0.1</f>
        <v>197520</v>
      </c>
      <c r="F626" s="20">
        <v>198574.3</v>
      </c>
      <c r="G626" s="20">
        <v>208639.2</v>
      </c>
    </row>
    <row r="627" spans="1:7" outlineLevel="1" x14ac:dyDescent="0.25">
      <c r="A627" s="18" t="s">
        <v>99</v>
      </c>
      <c r="B627" s="19" t="s">
        <v>100</v>
      </c>
      <c r="C627" s="19"/>
      <c r="D627" s="19"/>
      <c r="E627" s="20">
        <f>E628</f>
        <v>187181.5</v>
      </c>
      <c r="F627" s="20">
        <f t="shared" ref="F627:G627" si="249">F628</f>
        <v>47622.600000000006</v>
      </c>
      <c r="G627" s="20">
        <f t="shared" si="249"/>
        <v>48948.6</v>
      </c>
    </row>
    <row r="628" spans="1:7" ht="31.5" outlineLevel="2" x14ac:dyDescent="0.25">
      <c r="A628" s="18" t="s">
        <v>101</v>
      </c>
      <c r="B628" s="19" t="s">
        <v>100</v>
      </c>
      <c r="C628" s="19" t="s">
        <v>102</v>
      </c>
      <c r="D628" s="19"/>
      <c r="E628" s="20">
        <f>E633+E637+E629</f>
        <v>187181.5</v>
      </c>
      <c r="F628" s="20">
        <f t="shared" ref="F628:G628" si="250">F633+F637+F629</f>
        <v>47622.600000000006</v>
      </c>
      <c r="G628" s="20">
        <f t="shared" si="250"/>
        <v>48948.6</v>
      </c>
    </row>
    <row r="629" spans="1:7" outlineLevel="2" x14ac:dyDescent="0.25">
      <c r="A629" s="39" t="s">
        <v>228</v>
      </c>
      <c r="B629" s="19" t="s">
        <v>100</v>
      </c>
      <c r="C629" s="19" t="s">
        <v>550</v>
      </c>
      <c r="D629" s="19"/>
      <c r="E629" s="20">
        <f>E630</f>
        <v>127580.8</v>
      </c>
      <c r="F629" s="20">
        <f t="shared" ref="F629:G631" si="251">F630</f>
        <v>0</v>
      </c>
      <c r="G629" s="20">
        <f t="shared" si="251"/>
        <v>0</v>
      </c>
    </row>
    <row r="630" spans="1:7" ht="31.5" outlineLevel="2" x14ac:dyDescent="0.25">
      <c r="A630" s="39" t="s">
        <v>548</v>
      </c>
      <c r="B630" s="19" t="s">
        <v>100</v>
      </c>
      <c r="C630" s="19" t="s">
        <v>551</v>
      </c>
      <c r="D630" s="19"/>
      <c r="E630" s="20">
        <f t="shared" ref="E630:E631" si="252">E631</f>
        <v>127580.8</v>
      </c>
      <c r="F630" s="20">
        <f t="shared" si="251"/>
        <v>0</v>
      </c>
      <c r="G630" s="20">
        <f t="shared" si="251"/>
        <v>0</v>
      </c>
    </row>
    <row r="631" spans="1:7" ht="47.25" outlineLevel="2" x14ac:dyDescent="0.25">
      <c r="A631" s="39" t="s">
        <v>549</v>
      </c>
      <c r="B631" s="19" t="s">
        <v>100</v>
      </c>
      <c r="C631" s="19" t="s">
        <v>552</v>
      </c>
      <c r="D631" s="19"/>
      <c r="E631" s="20">
        <f t="shared" si="252"/>
        <v>127580.8</v>
      </c>
      <c r="F631" s="20">
        <f t="shared" si="251"/>
        <v>0</v>
      </c>
      <c r="G631" s="20">
        <f t="shared" si="251"/>
        <v>0</v>
      </c>
    </row>
    <row r="632" spans="1:7" ht="47.25" outlineLevel="2" x14ac:dyDescent="0.25">
      <c r="A632" s="18" t="s">
        <v>94</v>
      </c>
      <c r="B632" s="19" t="s">
        <v>100</v>
      </c>
      <c r="C632" s="19" t="s">
        <v>552</v>
      </c>
      <c r="D632" s="19" t="s">
        <v>95</v>
      </c>
      <c r="E632" s="20">
        <f>9297.6+118283.2</f>
        <v>127580.8</v>
      </c>
      <c r="F632" s="20">
        <v>0</v>
      </c>
      <c r="G632" s="20">
        <v>0</v>
      </c>
    </row>
    <row r="633" spans="1:7" ht="31.5" outlineLevel="2" x14ac:dyDescent="0.25">
      <c r="A633" s="18" t="s">
        <v>155</v>
      </c>
      <c r="B633" s="19" t="s">
        <v>100</v>
      </c>
      <c r="C633" s="19" t="s">
        <v>172</v>
      </c>
      <c r="D633" s="10"/>
      <c r="E633" s="20">
        <f>E634</f>
        <v>499.2</v>
      </c>
      <c r="F633" s="20">
        <f t="shared" ref="F633:G635" si="253">F634</f>
        <v>294.39999999999998</v>
      </c>
      <c r="G633" s="20">
        <f t="shared" si="253"/>
        <v>294.39999999999998</v>
      </c>
    </row>
    <row r="634" spans="1:7" ht="31.5" outlineLevel="2" x14ac:dyDescent="0.25">
      <c r="A634" s="18" t="s">
        <v>173</v>
      </c>
      <c r="B634" s="19" t="s">
        <v>100</v>
      </c>
      <c r="C634" s="19" t="s">
        <v>174</v>
      </c>
      <c r="D634" s="10"/>
      <c r="E634" s="20">
        <f>E635</f>
        <v>499.2</v>
      </c>
      <c r="F634" s="20">
        <f t="shared" si="253"/>
        <v>294.39999999999998</v>
      </c>
      <c r="G634" s="20">
        <f t="shared" si="253"/>
        <v>294.39999999999998</v>
      </c>
    </row>
    <row r="635" spans="1:7" ht="63" outlineLevel="2" x14ac:dyDescent="0.25">
      <c r="A635" s="18" t="s">
        <v>175</v>
      </c>
      <c r="B635" s="19" t="s">
        <v>100</v>
      </c>
      <c r="C635" s="19" t="s">
        <v>487</v>
      </c>
      <c r="D635" s="10"/>
      <c r="E635" s="20">
        <f>E636</f>
        <v>499.2</v>
      </c>
      <c r="F635" s="20">
        <f t="shared" si="253"/>
        <v>294.39999999999998</v>
      </c>
      <c r="G635" s="20">
        <f t="shared" si="253"/>
        <v>294.39999999999998</v>
      </c>
    </row>
    <row r="636" spans="1:7" ht="47.25" outlineLevel="2" x14ac:dyDescent="0.25">
      <c r="A636" s="18" t="s">
        <v>94</v>
      </c>
      <c r="B636" s="19" t="s">
        <v>100</v>
      </c>
      <c r="C636" s="19" t="s">
        <v>487</v>
      </c>
      <c r="D636" s="10">
        <v>600</v>
      </c>
      <c r="E636" s="20">
        <v>499.2</v>
      </c>
      <c r="F636" s="20">
        <v>294.39999999999998</v>
      </c>
      <c r="G636" s="20">
        <v>294.39999999999998</v>
      </c>
    </row>
    <row r="637" spans="1:7" outlineLevel="2" x14ac:dyDescent="0.25">
      <c r="A637" s="18" t="s">
        <v>144</v>
      </c>
      <c r="B637" s="19" t="s">
        <v>100</v>
      </c>
      <c r="C637" s="19" t="s">
        <v>176</v>
      </c>
      <c r="D637" s="10"/>
      <c r="E637" s="20">
        <f>E638</f>
        <v>59101.5</v>
      </c>
      <c r="F637" s="20">
        <f t="shared" ref="F637:G637" si="254">F638</f>
        <v>47328.200000000004</v>
      </c>
      <c r="G637" s="20">
        <f t="shared" si="254"/>
        <v>48654.2</v>
      </c>
    </row>
    <row r="638" spans="1:7" ht="78.75" outlineLevel="2" x14ac:dyDescent="0.25">
      <c r="A638" s="18" t="s">
        <v>177</v>
      </c>
      <c r="B638" s="19" t="s">
        <v>100</v>
      </c>
      <c r="C638" s="19" t="s">
        <v>178</v>
      </c>
      <c r="D638" s="10"/>
      <c r="E638" s="20">
        <f>E639+E641+E643</f>
        <v>59101.5</v>
      </c>
      <c r="F638" s="20">
        <f t="shared" ref="F638:G638" si="255">F639+F641+F643</f>
        <v>47328.200000000004</v>
      </c>
      <c r="G638" s="20">
        <f t="shared" si="255"/>
        <v>48654.2</v>
      </c>
    </row>
    <row r="639" spans="1:7" ht="31.5" outlineLevel="2" x14ac:dyDescent="0.25">
      <c r="A639" s="18" t="s">
        <v>179</v>
      </c>
      <c r="B639" s="19" t="s">
        <v>100</v>
      </c>
      <c r="C639" s="19" t="s">
        <v>180</v>
      </c>
      <c r="D639" s="10"/>
      <c r="E639" s="20">
        <f>E640</f>
        <v>3300</v>
      </c>
      <c r="F639" s="20">
        <f t="shared" ref="F639:G639" si="256">F640</f>
        <v>3000</v>
      </c>
      <c r="G639" s="20">
        <f t="shared" si="256"/>
        <v>3000</v>
      </c>
    </row>
    <row r="640" spans="1:7" ht="31.5" outlineLevel="2" x14ac:dyDescent="0.25">
      <c r="A640" s="18" t="s">
        <v>76</v>
      </c>
      <c r="B640" s="19" t="s">
        <v>100</v>
      </c>
      <c r="C640" s="19" t="s">
        <v>180</v>
      </c>
      <c r="D640" s="10">
        <v>200</v>
      </c>
      <c r="E640" s="20">
        <v>3300</v>
      </c>
      <c r="F640" s="20">
        <v>3000</v>
      </c>
      <c r="G640" s="20">
        <v>3000</v>
      </c>
    </row>
    <row r="641" spans="1:7" ht="31.5" outlineLevel="2" x14ac:dyDescent="0.25">
      <c r="A641" s="38" t="s">
        <v>181</v>
      </c>
      <c r="B641" s="19" t="s">
        <v>100</v>
      </c>
      <c r="C641" s="19" t="s">
        <v>182</v>
      </c>
      <c r="D641" s="10"/>
      <c r="E641" s="20">
        <f>E642</f>
        <v>750</v>
      </c>
      <c r="F641" s="20">
        <f t="shared" ref="F641:G641" si="257">F642</f>
        <v>600</v>
      </c>
      <c r="G641" s="20">
        <f t="shared" si="257"/>
        <v>600</v>
      </c>
    </row>
    <row r="642" spans="1:7" ht="31.5" outlineLevel="2" x14ac:dyDescent="0.25">
      <c r="A642" s="18" t="s">
        <v>20</v>
      </c>
      <c r="B642" s="19" t="s">
        <v>100</v>
      </c>
      <c r="C642" s="19" t="s">
        <v>182</v>
      </c>
      <c r="D642" s="10">
        <v>300</v>
      </c>
      <c r="E642" s="20">
        <f>650+100</f>
        <v>750</v>
      </c>
      <c r="F642" s="20">
        <v>600</v>
      </c>
      <c r="G642" s="20">
        <v>600</v>
      </c>
    </row>
    <row r="643" spans="1:7" ht="47.25" outlineLevel="2" x14ac:dyDescent="0.25">
      <c r="A643" s="18" t="s">
        <v>183</v>
      </c>
      <c r="B643" s="19" t="s">
        <v>100</v>
      </c>
      <c r="C643" s="19" t="s">
        <v>184</v>
      </c>
      <c r="D643" s="10"/>
      <c r="E643" s="20">
        <f>E644</f>
        <v>55051.5</v>
      </c>
      <c r="F643" s="20">
        <f t="shared" ref="F643:G643" si="258">F644</f>
        <v>43728.200000000004</v>
      </c>
      <c r="G643" s="20">
        <f t="shared" si="258"/>
        <v>45054.2</v>
      </c>
    </row>
    <row r="644" spans="1:7" ht="47.25" outlineLevel="2" x14ac:dyDescent="0.25">
      <c r="A644" s="18" t="s">
        <v>94</v>
      </c>
      <c r="B644" s="19" t="s">
        <v>100</v>
      </c>
      <c r="C644" s="19" t="s">
        <v>184</v>
      </c>
      <c r="D644" s="10">
        <v>600</v>
      </c>
      <c r="E644" s="20">
        <f>36942.3+4344.5+4325.6+8075.5+230+166+397.6+570</f>
        <v>55051.5</v>
      </c>
      <c r="F644" s="20">
        <f>38201.8+5526.4</f>
        <v>43728.200000000004</v>
      </c>
      <c r="G644" s="20">
        <f>39462.2+5592</f>
        <v>45054.2</v>
      </c>
    </row>
    <row r="645" spans="1:7" outlineLevel="1" x14ac:dyDescent="0.25">
      <c r="A645" s="21" t="s">
        <v>263</v>
      </c>
      <c r="B645" s="19" t="s">
        <v>264</v>
      </c>
      <c r="C645" s="56"/>
      <c r="D645" s="10"/>
      <c r="E645" s="20">
        <f>E646</f>
        <v>236289.9</v>
      </c>
      <c r="F645" s="20">
        <f t="shared" ref="F645:G646" si="259">F646</f>
        <v>208715.89999999997</v>
      </c>
      <c r="G645" s="20">
        <f t="shared" si="259"/>
        <v>213457.4</v>
      </c>
    </row>
    <row r="646" spans="1:7" ht="31.5" outlineLevel="2" x14ac:dyDescent="0.25">
      <c r="A646" s="21" t="s">
        <v>209</v>
      </c>
      <c r="B646" s="19" t="s">
        <v>264</v>
      </c>
      <c r="C646" s="19" t="s">
        <v>210</v>
      </c>
      <c r="D646" s="10"/>
      <c r="E646" s="20">
        <f>E647</f>
        <v>236289.9</v>
      </c>
      <c r="F646" s="20">
        <f t="shared" si="259"/>
        <v>208715.89999999997</v>
      </c>
      <c r="G646" s="20">
        <f t="shared" si="259"/>
        <v>213457.4</v>
      </c>
    </row>
    <row r="647" spans="1:7" outlineLevel="2" x14ac:dyDescent="0.25">
      <c r="A647" s="9" t="s">
        <v>144</v>
      </c>
      <c r="B647" s="19" t="s">
        <v>264</v>
      </c>
      <c r="C647" s="19" t="s">
        <v>216</v>
      </c>
      <c r="D647" s="10"/>
      <c r="E647" s="20">
        <f>E648+E657+E670+E677</f>
        <v>236289.9</v>
      </c>
      <c r="F647" s="20">
        <f>F648+F657+F670+F677</f>
        <v>208715.89999999997</v>
      </c>
      <c r="G647" s="20">
        <f>G648+G657+G670+G677</f>
        <v>213457.4</v>
      </c>
    </row>
    <row r="648" spans="1:7" ht="63" outlineLevel="2" x14ac:dyDescent="0.25">
      <c r="A648" s="33" t="s">
        <v>495</v>
      </c>
      <c r="B648" s="19" t="s">
        <v>264</v>
      </c>
      <c r="C648" s="19" t="s">
        <v>217</v>
      </c>
      <c r="D648" s="10"/>
      <c r="E648" s="20">
        <f>E651+E654+E649</f>
        <v>15702.7</v>
      </c>
      <c r="F648" s="20">
        <f t="shared" ref="F648:G648" si="260">F651+F654+F649</f>
        <v>2431.9</v>
      </c>
      <c r="G648" s="20">
        <f t="shared" si="260"/>
        <v>2431.9</v>
      </c>
    </row>
    <row r="649" spans="1:7" ht="47.25" outlineLevel="2" x14ac:dyDescent="0.25">
      <c r="A649" s="9" t="s">
        <v>151</v>
      </c>
      <c r="B649" s="19" t="s">
        <v>264</v>
      </c>
      <c r="C649" s="19" t="s">
        <v>218</v>
      </c>
      <c r="D649" s="10"/>
      <c r="E649" s="20">
        <f>E650</f>
        <v>13342</v>
      </c>
      <c r="F649" s="20">
        <f t="shared" ref="F649:G649" si="261">F650</f>
        <v>0</v>
      </c>
      <c r="G649" s="20">
        <f t="shared" si="261"/>
        <v>0</v>
      </c>
    </row>
    <row r="650" spans="1:7" ht="47.25" outlineLevel="2" x14ac:dyDescent="0.25">
      <c r="A650" s="9" t="s">
        <v>94</v>
      </c>
      <c r="B650" s="19" t="s">
        <v>264</v>
      </c>
      <c r="C650" s="19" t="s">
        <v>218</v>
      </c>
      <c r="D650" s="10">
        <v>600</v>
      </c>
      <c r="E650" s="20">
        <f>10000+2700+642</f>
        <v>13342</v>
      </c>
      <c r="F650" s="20">
        <v>0</v>
      </c>
      <c r="G650" s="20">
        <v>0</v>
      </c>
    </row>
    <row r="651" spans="1:7" ht="78.75" outlineLevel="2" x14ac:dyDescent="0.25">
      <c r="A651" s="33" t="s">
        <v>265</v>
      </c>
      <c r="B651" s="19" t="s">
        <v>264</v>
      </c>
      <c r="C651" s="19" t="s">
        <v>266</v>
      </c>
      <c r="D651" s="10"/>
      <c r="E651" s="20">
        <f>E652+E653</f>
        <v>987.7</v>
      </c>
      <c r="F651" s="20">
        <f t="shared" ref="F651:G651" si="262">F652+F653</f>
        <v>1257.1000000000001</v>
      </c>
      <c r="G651" s="20">
        <f t="shared" si="262"/>
        <v>1257.1000000000001</v>
      </c>
    </row>
    <row r="652" spans="1:7" ht="94.5" outlineLevel="2" x14ac:dyDescent="0.25">
      <c r="A652" s="21" t="s">
        <v>13</v>
      </c>
      <c r="B652" s="19" t="s">
        <v>264</v>
      </c>
      <c r="C652" s="19" t="s">
        <v>266</v>
      </c>
      <c r="D652" s="10">
        <v>100</v>
      </c>
      <c r="E652" s="20">
        <f>429.6+129.8+235.6</f>
        <v>795.00000000000011</v>
      </c>
      <c r="F652" s="20">
        <v>795.00000000000011</v>
      </c>
      <c r="G652" s="20">
        <v>795.00000000000011</v>
      </c>
    </row>
    <row r="653" spans="1:7" ht="31.5" outlineLevel="2" x14ac:dyDescent="0.25">
      <c r="A653" s="21" t="s">
        <v>76</v>
      </c>
      <c r="B653" s="19" t="s">
        <v>264</v>
      </c>
      <c r="C653" s="19" t="s">
        <v>266</v>
      </c>
      <c r="D653" s="10">
        <v>200</v>
      </c>
      <c r="E653" s="20">
        <f>462.4-269.7</f>
        <v>192.7</v>
      </c>
      <c r="F653" s="20">
        <v>462.1</v>
      </c>
      <c r="G653" s="20">
        <v>462.1</v>
      </c>
    </row>
    <row r="654" spans="1:7" ht="157.5" outlineLevel="2" x14ac:dyDescent="0.25">
      <c r="A654" s="33" t="s">
        <v>244</v>
      </c>
      <c r="B654" s="19" t="s">
        <v>264</v>
      </c>
      <c r="C654" s="19" t="s">
        <v>245</v>
      </c>
      <c r="D654" s="10"/>
      <c r="E654" s="20">
        <f>E655+E656</f>
        <v>1373.0000000000002</v>
      </c>
      <c r="F654" s="20">
        <f t="shared" ref="F654:G654" si="263">F655+F656</f>
        <v>1174.8</v>
      </c>
      <c r="G654" s="20">
        <f t="shared" si="263"/>
        <v>1174.8</v>
      </c>
    </row>
    <row r="655" spans="1:7" ht="94.5" outlineLevel="2" x14ac:dyDescent="0.25">
      <c r="A655" s="21" t="s">
        <v>13</v>
      </c>
      <c r="B655" s="19" t="s">
        <v>264</v>
      </c>
      <c r="C655" s="19" t="s">
        <v>245</v>
      </c>
      <c r="D655" s="10">
        <v>100</v>
      </c>
      <c r="E655" s="20">
        <f>852.8+257.6+64.4</f>
        <v>1174.8000000000002</v>
      </c>
      <c r="F655" s="20">
        <v>1174.8</v>
      </c>
      <c r="G655" s="20">
        <v>1174.8</v>
      </c>
    </row>
    <row r="656" spans="1:7" ht="31.5" outlineLevel="2" x14ac:dyDescent="0.25">
      <c r="A656" s="21" t="s">
        <v>76</v>
      </c>
      <c r="B656" s="19" t="s">
        <v>264</v>
      </c>
      <c r="C656" s="19" t="s">
        <v>245</v>
      </c>
      <c r="D656" s="10">
        <v>200</v>
      </c>
      <c r="E656" s="20">
        <v>198.2</v>
      </c>
      <c r="F656" s="20">
        <v>0</v>
      </c>
      <c r="G656" s="20">
        <v>0</v>
      </c>
    </row>
    <row r="657" spans="1:7" ht="47.25" outlineLevel="2" x14ac:dyDescent="0.25">
      <c r="A657" s="33" t="s">
        <v>496</v>
      </c>
      <c r="B657" s="19" t="s">
        <v>264</v>
      </c>
      <c r="C657" s="24" t="s">
        <v>269</v>
      </c>
      <c r="D657" s="10"/>
      <c r="E657" s="20">
        <f>E658+E660+E662+E665+E667</f>
        <v>15782.999999999998</v>
      </c>
      <c r="F657" s="20">
        <f t="shared" ref="F657:G657" si="264">F658+F660+F662+F665+F667</f>
        <v>8315.6000000000022</v>
      </c>
      <c r="G657" s="20">
        <f t="shared" si="264"/>
        <v>8317.2000000000007</v>
      </c>
    </row>
    <row r="658" spans="1:7" ht="63" outlineLevel="2" x14ac:dyDescent="0.25">
      <c r="A658" s="33" t="s">
        <v>270</v>
      </c>
      <c r="B658" s="19" t="s">
        <v>264</v>
      </c>
      <c r="C658" s="19" t="s">
        <v>271</v>
      </c>
      <c r="D658" s="10"/>
      <c r="E658" s="20">
        <f>E659</f>
        <v>63.3</v>
      </c>
      <c r="F658" s="20">
        <f t="shared" ref="F658:G658" si="265">F659</f>
        <v>64.2</v>
      </c>
      <c r="G658" s="20">
        <f t="shared" si="265"/>
        <v>64.2</v>
      </c>
    </row>
    <row r="659" spans="1:7" ht="31.5" outlineLevel="2" x14ac:dyDescent="0.25">
      <c r="A659" s="21" t="s">
        <v>76</v>
      </c>
      <c r="B659" s="19" t="s">
        <v>264</v>
      </c>
      <c r="C659" s="19" t="s">
        <v>271</v>
      </c>
      <c r="D659" s="10">
        <v>200</v>
      </c>
      <c r="E659" s="20">
        <v>63.3</v>
      </c>
      <c r="F659" s="20">
        <v>64.2</v>
      </c>
      <c r="G659" s="20">
        <v>64.2</v>
      </c>
    </row>
    <row r="660" spans="1:7" ht="110.25" outlineLevel="2" x14ac:dyDescent="0.25">
      <c r="A660" s="33" t="s">
        <v>272</v>
      </c>
      <c r="B660" s="19" t="s">
        <v>264</v>
      </c>
      <c r="C660" s="19" t="s">
        <v>273</v>
      </c>
      <c r="D660" s="10"/>
      <c r="E660" s="20">
        <f>E661</f>
        <v>2.2999999999999998</v>
      </c>
      <c r="F660" s="20">
        <f t="shared" ref="F660:G660" si="266">F661</f>
        <v>2.2999999999999998</v>
      </c>
      <c r="G660" s="20">
        <f t="shared" si="266"/>
        <v>2.2999999999999998</v>
      </c>
    </row>
    <row r="661" spans="1:7" ht="31.5" outlineLevel="2" x14ac:dyDescent="0.25">
      <c r="A661" s="21" t="s">
        <v>76</v>
      </c>
      <c r="B661" s="19" t="s">
        <v>264</v>
      </c>
      <c r="C661" s="19" t="s">
        <v>273</v>
      </c>
      <c r="D661" s="10">
        <v>200</v>
      </c>
      <c r="E661" s="20">
        <v>2.2999999999999998</v>
      </c>
      <c r="F661" s="20">
        <v>2.2999999999999998</v>
      </c>
      <c r="G661" s="20">
        <v>2.2999999999999998</v>
      </c>
    </row>
    <row r="662" spans="1:7" ht="94.5" outlineLevel="2" x14ac:dyDescent="0.25">
      <c r="A662" s="33" t="s">
        <v>274</v>
      </c>
      <c r="B662" s="19" t="s">
        <v>264</v>
      </c>
      <c r="C662" s="19" t="s">
        <v>275</v>
      </c>
      <c r="D662" s="25"/>
      <c r="E662" s="20">
        <f>E664+E663</f>
        <v>800.3</v>
      </c>
      <c r="F662" s="20">
        <f t="shared" ref="F662:G662" si="267">F664+F663</f>
        <v>800.3</v>
      </c>
      <c r="G662" s="20">
        <f t="shared" si="267"/>
        <v>800.3</v>
      </c>
    </row>
    <row r="663" spans="1:7" ht="94.5" outlineLevel="2" x14ac:dyDescent="0.25">
      <c r="A663" s="49" t="s">
        <v>13</v>
      </c>
      <c r="B663" s="19" t="s">
        <v>264</v>
      </c>
      <c r="C663" s="19" t="s">
        <v>275</v>
      </c>
      <c r="D663" s="25">
        <v>100</v>
      </c>
      <c r="E663" s="20">
        <v>88.5</v>
      </c>
      <c r="F663" s="20">
        <v>0</v>
      </c>
      <c r="G663" s="20">
        <v>0</v>
      </c>
    </row>
    <row r="664" spans="1:7" ht="31.5" outlineLevel="2" x14ac:dyDescent="0.25">
      <c r="A664" s="21" t="s">
        <v>76</v>
      </c>
      <c r="B664" s="19" t="s">
        <v>264</v>
      </c>
      <c r="C664" s="19" t="s">
        <v>275</v>
      </c>
      <c r="D664" s="25">
        <v>200</v>
      </c>
      <c r="E664" s="20">
        <f>800.3-88.5</f>
        <v>711.8</v>
      </c>
      <c r="F664" s="20">
        <v>800.3</v>
      </c>
      <c r="G664" s="20">
        <v>800.3</v>
      </c>
    </row>
    <row r="665" spans="1:7" ht="31.5" outlineLevel="2" x14ac:dyDescent="0.25">
      <c r="A665" s="9" t="s">
        <v>276</v>
      </c>
      <c r="B665" s="19" t="s">
        <v>264</v>
      </c>
      <c r="C665" s="19" t="s">
        <v>277</v>
      </c>
      <c r="D665" s="10"/>
      <c r="E665" s="20">
        <f>E666</f>
        <v>2000</v>
      </c>
      <c r="F665" s="20">
        <f t="shared" ref="F665:G665" si="268">F666</f>
        <v>2000</v>
      </c>
      <c r="G665" s="20">
        <f t="shared" si="268"/>
        <v>2000</v>
      </c>
    </row>
    <row r="666" spans="1:7" ht="47.25" outlineLevel="2" x14ac:dyDescent="0.25">
      <c r="A666" s="21" t="s">
        <v>94</v>
      </c>
      <c r="B666" s="19" t="s">
        <v>264</v>
      </c>
      <c r="C666" s="19" t="s">
        <v>277</v>
      </c>
      <c r="D666" s="10">
        <v>600</v>
      </c>
      <c r="E666" s="20">
        <v>2000</v>
      </c>
      <c r="F666" s="20">
        <v>2000</v>
      </c>
      <c r="G666" s="20">
        <v>2000</v>
      </c>
    </row>
    <row r="667" spans="1:7" ht="47.25" outlineLevel="2" x14ac:dyDescent="0.25">
      <c r="A667" s="33" t="s">
        <v>278</v>
      </c>
      <c r="B667" s="19" t="s">
        <v>264</v>
      </c>
      <c r="C667" s="56" t="s">
        <v>279</v>
      </c>
      <c r="D667" s="10"/>
      <c r="E667" s="20">
        <f>E668+E669</f>
        <v>12917.099999999999</v>
      </c>
      <c r="F667" s="20">
        <f t="shared" ref="F667:G667" si="269">F668+F669</f>
        <v>5448.8000000000011</v>
      </c>
      <c r="G667" s="20">
        <f t="shared" si="269"/>
        <v>5450.4</v>
      </c>
    </row>
    <row r="668" spans="1:7" ht="31.5" outlineLevel="2" x14ac:dyDescent="0.25">
      <c r="A668" s="21" t="s">
        <v>76</v>
      </c>
      <c r="B668" s="19" t="s">
        <v>264</v>
      </c>
      <c r="C668" s="56" t="s">
        <v>279</v>
      </c>
      <c r="D668" s="10">
        <v>200</v>
      </c>
      <c r="E668" s="20">
        <f>3+47.5</f>
        <v>50.5</v>
      </c>
      <c r="F668" s="20">
        <f>3+47.5</f>
        <v>50.5</v>
      </c>
      <c r="G668" s="20">
        <f>3+47.5</f>
        <v>50.5</v>
      </c>
    </row>
    <row r="669" spans="1:7" ht="31.5" outlineLevel="2" x14ac:dyDescent="0.25">
      <c r="A669" s="21" t="s">
        <v>20</v>
      </c>
      <c r="B669" s="19" t="s">
        <v>264</v>
      </c>
      <c r="C669" s="56" t="s">
        <v>279</v>
      </c>
      <c r="D669" s="10">
        <v>300</v>
      </c>
      <c r="E669" s="20">
        <f>14088+0.5+6.8-1228.7</f>
        <v>12866.599999999999</v>
      </c>
      <c r="F669" s="20">
        <f>14085.1-491.4-7699.7-495.7</f>
        <v>5398.3000000000011</v>
      </c>
      <c r="G669" s="20">
        <f>14085.1-493.7-7735.4-456.1</f>
        <v>5399.9</v>
      </c>
    </row>
    <row r="670" spans="1:7" ht="63" outlineLevel="2" x14ac:dyDescent="0.25">
      <c r="A670" s="33" t="s">
        <v>489</v>
      </c>
      <c r="B670" s="19" t="s">
        <v>264</v>
      </c>
      <c r="C670" s="24" t="s">
        <v>223</v>
      </c>
      <c r="D670" s="10"/>
      <c r="E670" s="20">
        <f>E671+E673+E675</f>
        <v>9586.6</v>
      </c>
      <c r="F670" s="20">
        <f t="shared" ref="F670:G670" si="270">F671+F673+F675</f>
        <v>3387.8</v>
      </c>
      <c r="G670" s="20">
        <f t="shared" si="270"/>
        <v>3387.8</v>
      </c>
    </row>
    <row r="671" spans="1:7" ht="31.5" outlineLevel="2" x14ac:dyDescent="0.25">
      <c r="A671" s="44" t="s">
        <v>250</v>
      </c>
      <c r="B671" s="19" t="s">
        <v>264</v>
      </c>
      <c r="C671" s="56" t="s">
        <v>251</v>
      </c>
      <c r="D671" s="10"/>
      <c r="E671" s="20">
        <f>E672</f>
        <v>1839</v>
      </c>
      <c r="F671" s="20">
        <f t="shared" ref="F671:G671" si="271">F672</f>
        <v>1447</v>
      </c>
      <c r="G671" s="20">
        <f t="shared" si="271"/>
        <v>1447</v>
      </c>
    </row>
    <row r="672" spans="1:7" ht="47.25" outlineLevel="2" x14ac:dyDescent="0.25">
      <c r="A672" s="21" t="s">
        <v>94</v>
      </c>
      <c r="B672" s="19" t="s">
        <v>264</v>
      </c>
      <c r="C672" s="56" t="s">
        <v>251</v>
      </c>
      <c r="D672" s="10">
        <v>600</v>
      </c>
      <c r="E672" s="20">
        <f>1447+392</f>
        <v>1839</v>
      </c>
      <c r="F672" s="20">
        <v>1447</v>
      </c>
      <c r="G672" s="20">
        <v>1447</v>
      </c>
    </row>
    <row r="673" spans="1:7" ht="31.5" outlineLevel="2" x14ac:dyDescent="0.25">
      <c r="A673" s="33" t="s">
        <v>280</v>
      </c>
      <c r="B673" s="19" t="s">
        <v>264</v>
      </c>
      <c r="C673" s="56" t="s">
        <v>281</v>
      </c>
      <c r="D673" s="25"/>
      <c r="E673" s="20">
        <f>E674</f>
        <v>5747.6</v>
      </c>
      <c r="F673" s="20">
        <f t="shared" ref="F673:G673" si="272">F674</f>
        <v>1940.8</v>
      </c>
      <c r="G673" s="20">
        <f t="shared" si="272"/>
        <v>1940.8</v>
      </c>
    </row>
    <row r="674" spans="1:7" ht="47.25" outlineLevel="2" x14ac:dyDescent="0.25">
      <c r="A674" s="21" t="s">
        <v>94</v>
      </c>
      <c r="B674" s="19" t="s">
        <v>264</v>
      </c>
      <c r="C674" s="56" t="s">
        <v>281</v>
      </c>
      <c r="D674" s="25">
        <v>600</v>
      </c>
      <c r="E674" s="20">
        <f>3368.3-5.7+1500+885</f>
        <v>5747.6</v>
      </c>
      <c r="F674" s="20">
        <v>1940.8</v>
      </c>
      <c r="G674" s="20">
        <v>1940.8</v>
      </c>
    </row>
    <row r="675" spans="1:7" ht="94.5" outlineLevel="2" x14ac:dyDescent="0.25">
      <c r="A675" s="49" t="s">
        <v>624</v>
      </c>
      <c r="B675" s="19" t="s">
        <v>264</v>
      </c>
      <c r="C675" s="19" t="s">
        <v>625</v>
      </c>
      <c r="D675" s="19"/>
      <c r="E675" s="20">
        <f>E676</f>
        <v>2000</v>
      </c>
      <c r="F675" s="20">
        <f t="shared" ref="F675:G675" si="273">F676</f>
        <v>0</v>
      </c>
      <c r="G675" s="20">
        <f t="shared" si="273"/>
        <v>0</v>
      </c>
    </row>
    <row r="676" spans="1:7" ht="47.25" outlineLevel="2" x14ac:dyDescent="0.25">
      <c r="A676" s="21" t="s">
        <v>94</v>
      </c>
      <c r="B676" s="19" t="s">
        <v>264</v>
      </c>
      <c r="C676" s="19" t="s">
        <v>625</v>
      </c>
      <c r="D676" s="19" t="s">
        <v>95</v>
      </c>
      <c r="E676" s="20">
        <v>2000</v>
      </c>
      <c r="F676" s="20">
        <v>0</v>
      </c>
      <c r="G676" s="20">
        <v>0</v>
      </c>
    </row>
    <row r="677" spans="1:7" ht="47.25" outlineLevel="2" x14ac:dyDescent="0.25">
      <c r="A677" s="33" t="s">
        <v>497</v>
      </c>
      <c r="B677" s="19" t="s">
        <v>264</v>
      </c>
      <c r="C677" s="24" t="s">
        <v>282</v>
      </c>
      <c r="D677" s="10"/>
      <c r="E677" s="20">
        <f>E678+E682+E688+E684</f>
        <v>195217.6</v>
      </c>
      <c r="F677" s="20">
        <f t="shared" ref="F677:G677" si="274">F678+F682+F688+F684</f>
        <v>194580.59999999998</v>
      </c>
      <c r="G677" s="20">
        <f t="shared" si="274"/>
        <v>199320.5</v>
      </c>
    </row>
    <row r="678" spans="1:7" ht="47.25" outlineLevel="2" x14ac:dyDescent="0.25">
      <c r="A678" s="33" t="s">
        <v>159</v>
      </c>
      <c r="B678" s="19" t="s">
        <v>264</v>
      </c>
      <c r="C678" s="56" t="s">
        <v>283</v>
      </c>
      <c r="D678" s="10"/>
      <c r="E678" s="20">
        <f>E679+E680+E681</f>
        <v>56360.100000000006</v>
      </c>
      <c r="F678" s="20">
        <f t="shared" ref="F678:G678" si="275">F679+F680</f>
        <v>53253.3</v>
      </c>
      <c r="G678" s="20">
        <f t="shared" si="275"/>
        <v>53253.3</v>
      </c>
    </row>
    <row r="679" spans="1:7" ht="94.5" outlineLevel="2" x14ac:dyDescent="0.25">
      <c r="A679" s="21" t="s">
        <v>13</v>
      </c>
      <c r="B679" s="19" t="s">
        <v>264</v>
      </c>
      <c r="C679" s="56" t="s">
        <v>283</v>
      </c>
      <c r="D679" s="10">
        <v>100</v>
      </c>
      <c r="E679" s="20">
        <f>38288+11563+60.9-510.6+4857.8+100+300</f>
        <v>54659.100000000006</v>
      </c>
      <c r="F679" s="20">
        <f>39660.8+11977.6+60.9</f>
        <v>51699.3</v>
      </c>
      <c r="G679" s="20">
        <f>39660.8+11977.6+60.9</f>
        <v>51699.3</v>
      </c>
    </row>
    <row r="680" spans="1:7" ht="31.5" outlineLevel="2" x14ac:dyDescent="0.25">
      <c r="A680" s="21" t="s">
        <v>76</v>
      </c>
      <c r="B680" s="19" t="s">
        <v>264</v>
      </c>
      <c r="C680" s="56" t="s">
        <v>283</v>
      </c>
      <c r="D680" s="10">
        <v>200</v>
      </c>
      <c r="E680" s="20">
        <f>1614.9-60.9-100-300</f>
        <v>1154</v>
      </c>
      <c r="F680" s="20">
        <f>1614.9-60.9</f>
        <v>1554</v>
      </c>
      <c r="G680" s="20">
        <f>1614.9-60.9</f>
        <v>1554</v>
      </c>
    </row>
    <row r="681" spans="1:7" ht="31.5" outlineLevel="2" x14ac:dyDescent="0.25">
      <c r="A681" s="18" t="s">
        <v>20</v>
      </c>
      <c r="B681" s="19" t="s">
        <v>264</v>
      </c>
      <c r="C681" s="19" t="s">
        <v>283</v>
      </c>
      <c r="D681" s="19" t="s">
        <v>557</v>
      </c>
      <c r="E681" s="20">
        <v>547</v>
      </c>
      <c r="F681" s="20">
        <v>0</v>
      </c>
      <c r="G681" s="20">
        <v>0</v>
      </c>
    </row>
    <row r="682" spans="1:7" ht="38.25" customHeight="1" outlineLevel="2" x14ac:dyDescent="0.25">
      <c r="A682" s="9" t="s">
        <v>151</v>
      </c>
      <c r="B682" s="19" t="s">
        <v>264</v>
      </c>
      <c r="C682" s="56" t="s">
        <v>284</v>
      </c>
      <c r="D682" s="10"/>
      <c r="E682" s="20">
        <f>E683</f>
        <v>10321.199999999999</v>
      </c>
      <c r="F682" s="20">
        <f t="shared" ref="F682:G682" si="276">F683</f>
        <v>10610.7</v>
      </c>
      <c r="G682" s="20">
        <f t="shared" si="276"/>
        <v>11024.5</v>
      </c>
    </row>
    <row r="683" spans="1:7" ht="47.25" outlineLevel="2" x14ac:dyDescent="0.25">
      <c r="A683" s="21" t="s">
        <v>94</v>
      </c>
      <c r="B683" s="19" t="s">
        <v>264</v>
      </c>
      <c r="C683" s="56" t="s">
        <v>284</v>
      </c>
      <c r="D683" s="10">
        <v>600</v>
      </c>
      <c r="E683" s="20">
        <f>10212.9+642+108.3-642</f>
        <v>10321.199999999999</v>
      </c>
      <c r="F683" s="20">
        <v>10610.7</v>
      </c>
      <c r="G683" s="20">
        <v>11024.5</v>
      </c>
    </row>
    <row r="684" spans="1:7" ht="47.25" outlineLevel="2" x14ac:dyDescent="0.25">
      <c r="A684" s="21" t="s">
        <v>285</v>
      </c>
      <c r="B684" s="19" t="s">
        <v>264</v>
      </c>
      <c r="C684" s="56" t="s">
        <v>286</v>
      </c>
      <c r="D684" s="10"/>
      <c r="E684" s="20">
        <f>E685+E686+E687</f>
        <v>108619</v>
      </c>
      <c r="F684" s="20">
        <f t="shared" ref="F684:G684" si="277">F685+F686+F687</f>
        <v>110799.29999999999</v>
      </c>
      <c r="G684" s="20">
        <f t="shared" si="277"/>
        <v>115125.4</v>
      </c>
    </row>
    <row r="685" spans="1:7" ht="94.5" outlineLevel="2" x14ac:dyDescent="0.25">
      <c r="A685" s="21" t="s">
        <v>13</v>
      </c>
      <c r="B685" s="19" t="s">
        <v>264</v>
      </c>
      <c r="C685" s="56" t="s">
        <v>286</v>
      </c>
      <c r="D685" s="10">
        <v>100</v>
      </c>
      <c r="E685" s="20">
        <f>103993-50</f>
        <v>103943</v>
      </c>
      <c r="F685" s="20">
        <v>108152.7</v>
      </c>
      <c r="G685" s="20">
        <v>112478.8</v>
      </c>
    </row>
    <row r="686" spans="1:7" ht="31.5" outlineLevel="2" x14ac:dyDescent="0.25">
      <c r="A686" s="21" t="s">
        <v>76</v>
      </c>
      <c r="B686" s="19" t="s">
        <v>264</v>
      </c>
      <c r="C686" s="56" t="s">
        <v>286</v>
      </c>
      <c r="D686" s="10">
        <v>200</v>
      </c>
      <c r="E686" s="20">
        <f>2644.9+903+1076.4+50</f>
        <v>4674.3</v>
      </c>
      <c r="F686" s="20">
        <v>2644.9</v>
      </c>
      <c r="G686" s="20">
        <v>2644.9</v>
      </c>
    </row>
    <row r="687" spans="1:7" outlineLevel="2" x14ac:dyDescent="0.25">
      <c r="A687" s="9" t="s">
        <v>33</v>
      </c>
      <c r="B687" s="19" t="s">
        <v>264</v>
      </c>
      <c r="C687" s="56" t="s">
        <v>286</v>
      </c>
      <c r="D687" s="10">
        <v>800</v>
      </c>
      <c r="E687" s="20">
        <v>1.7</v>
      </c>
      <c r="F687" s="20">
        <v>1.7</v>
      </c>
      <c r="G687" s="20">
        <v>1.7</v>
      </c>
    </row>
    <row r="688" spans="1:7" ht="63" outlineLevel="2" x14ac:dyDescent="0.25">
      <c r="A688" s="33" t="s">
        <v>287</v>
      </c>
      <c r="B688" s="19" t="s">
        <v>264</v>
      </c>
      <c r="C688" s="24" t="s">
        <v>288</v>
      </c>
      <c r="D688" s="10"/>
      <c r="E688" s="20">
        <f>E689+E690</f>
        <v>19917.3</v>
      </c>
      <c r="F688" s="20">
        <f t="shared" ref="F688:G688" si="278">F689+F690</f>
        <v>19917.3</v>
      </c>
      <c r="G688" s="20">
        <f t="shared" si="278"/>
        <v>19917.3</v>
      </c>
    </row>
    <row r="689" spans="1:7" ht="94.5" outlineLevel="2" x14ac:dyDescent="0.25">
      <c r="A689" s="21" t="s">
        <v>13</v>
      </c>
      <c r="B689" s="19" t="s">
        <v>264</v>
      </c>
      <c r="C689" s="24" t="s">
        <v>288</v>
      </c>
      <c r="D689" s="25">
        <v>100</v>
      </c>
      <c r="E689" s="20">
        <f>14990.3+4527</f>
        <v>19517.3</v>
      </c>
      <c r="F689" s="20">
        <f>E689</f>
        <v>19517.3</v>
      </c>
      <c r="G689" s="20">
        <f>F689</f>
        <v>19517.3</v>
      </c>
    </row>
    <row r="690" spans="1:7" ht="31.5" outlineLevel="2" x14ac:dyDescent="0.25">
      <c r="A690" s="21" t="s">
        <v>76</v>
      </c>
      <c r="B690" s="19" t="s">
        <v>264</v>
      </c>
      <c r="C690" s="24" t="s">
        <v>288</v>
      </c>
      <c r="D690" s="25">
        <v>200</v>
      </c>
      <c r="E690" s="20">
        <v>400</v>
      </c>
      <c r="F690" s="20">
        <v>400</v>
      </c>
      <c r="G690" s="20">
        <v>400</v>
      </c>
    </row>
    <row r="691" spans="1:7" x14ac:dyDescent="0.25">
      <c r="A691" s="14" t="s">
        <v>103</v>
      </c>
      <c r="B691" s="57" t="s">
        <v>104</v>
      </c>
      <c r="C691" s="57"/>
      <c r="D691" s="37"/>
      <c r="E691" s="17">
        <f>E692+E713</f>
        <v>484090.89999999997</v>
      </c>
      <c r="F691" s="58">
        <f>F692+F713</f>
        <v>404647</v>
      </c>
      <c r="G691" s="58">
        <f>G692+G713</f>
        <v>423068</v>
      </c>
    </row>
    <row r="692" spans="1:7" outlineLevel="1" x14ac:dyDescent="0.25">
      <c r="A692" s="21" t="s">
        <v>105</v>
      </c>
      <c r="B692" s="31" t="s">
        <v>106</v>
      </c>
      <c r="C692" s="31"/>
      <c r="D692" s="2"/>
      <c r="E692" s="20">
        <f>E693</f>
        <v>391562.69999999995</v>
      </c>
      <c r="F692" s="20">
        <f t="shared" ref="F692:G711" si="279">F693</f>
        <v>312470.7</v>
      </c>
      <c r="G692" s="20">
        <f t="shared" si="279"/>
        <v>330195.3</v>
      </c>
    </row>
    <row r="693" spans="1:7" ht="31.5" outlineLevel="2" x14ac:dyDescent="0.25">
      <c r="A693" s="21" t="s">
        <v>153</v>
      </c>
      <c r="B693" s="31" t="s">
        <v>106</v>
      </c>
      <c r="C693" s="31" t="s">
        <v>96</v>
      </c>
      <c r="D693" s="31"/>
      <c r="E693" s="20">
        <f>E709+E694+E698</f>
        <v>391562.69999999995</v>
      </c>
      <c r="F693" s="20">
        <f t="shared" ref="F693:G693" si="280">F709+F694+F698</f>
        <v>312470.7</v>
      </c>
      <c r="G693" s="20">
        <f t="shared" si="280"/>
        <v>330195.3</v>
      </c>
    </row>
    <row r="694" spans="1:7" outlineLevel="2" x14ac:dyDescent="0.25">
      <c r="A694" s="39" t="s">
        <v>228</v>
      </c>
      <c r="B694" s="19" t="s">
        <v>106</v>
      </c>
      <c r="C694" s="19" t="s">
        <v>545</v>
      </c>
      <c r="D694" s="19"/>
      <c r="E694" s="20">
        <f>E695</f>
        <v>8510.6</v>
      </c>
      <c r="F694" s="20">
        <f t="shared" ref="F694:G696" si="281">F695</f>
        <v>0</v>
      </c>
      <c r="G694" s="20">
        <f t="shared" si="281"/>
        <v>0</v>
      </c>
    </row>
    <row r="695" spans="1:7" ht="31.5" outlineLevel="2" x14ac:dyDescent="0.25">
      <c r="A695" s="39" t="s">
        <v>543</v>
      </c>
      <c r="B695" s="19" t="s">
        <v>106</v>
      </c>
      <c r="C695" s="19" t="s">
        <v>546</v>
      </c>
      <c r="D695" s="19"/>
      <c r="E695" s="20">
        <f t="shared" ref="E695:E696" si="282">E696</f>
        <v>8510.6</v>
      </c>
      <c r="F695" s="20">
        <f t="shared" si="281"/>
        <v>0</v>
      </c>
      <c r="G695" s="20">
        <f t="shared" si="281"/>
        <v>0</v>
      </c>
    </row>
    <row r="696" spans="1:7" ht="31.5" outlineLevel="2" x14ac:dyDescent="0.25">
      <c r="A696" s="39" t="s">
        <v>544</v>
      </c>
      <c r="B696" s="19" t="s">
        <v>106</v>
      </c>
      <c r="C696" s="19" t="s">
        <v>547</v>
      </c>
      <c r="D696" s="19"/>
      <c r="E696" s="20">
        <f t="shared" si="282"/>
        <v>8510.6</v>
      </c>
      <c r="F696" s="20">
        <f t="shared" si="281"/>
        <v>0</v>
      </c>
      <c r="G696" s="20">
        <f t="shared" si="281"/>
        <v>0</v>
      </c>
    </row>
    <row r="697" spans="1:7" ht="47.25" outlineLevel="2" x14ac:dyDescent="0.25">
      <c r="A697" s="21" t="s">
        <v>94</v>
      </c>
      <c r="B697" s="19" t="s">
        <v>106</v>
      </c>
      <c r="C697" s="19" t="s">
        <v>547</v>
      </c>
      <c r="D697" s="19" t="s">
        <v>95</v>
      </c>
      <c r="E697" s="20">
        <f>510.6+8000</f>
        <v>8510.6</v>
      </c>
      <c r="F697" s="20">
        <v>0</v>
      </c>
      <c r="G697" s="20">
        <v>0</v>
      </c>
    </row>
    <row r="698" spans="1:7" ht="31.5" outlineLevel="2" x14ac:dyDescent="0.25">
      <c r="A698" s="21" t="s">
        <v>155</v>
      </c>
      <c r="B698" s="19" t="s">
        <v>106</v>
      </c>
      <c r="C698" s="19" t="s">
        <v>97</v>
      </c>
      <c r="D698" s="19"/>
      <c r="E698" s="20">
        <f>E699+E705</f>
        <v>12122</v>
      </c>
      <c r="F698" s="20">
        <f t="shared" ref="F698:G698" si="283">F699+F705</f>
        <v>20348.8</v>
      </c>
      <c r="G698" s="20">
        <f t="shared" si="283"/>
        <v>0</v>
      </c>
    </row>
    <row r="699" spans="1:7" ht="47.25" outlineLevel="2" x14ac:dyDescent="0.25">
      <c r="A699" s="33" t="s">
        <v>559</v>
      </c>
      <c r="B699" s="19" t="s">
        <v>106</v>
      </c>
      <c r="C699" s="19" t="s">
        <v>563</v>
      </c>
      <c r="D699" s="19"/>
      <c r="E699" s="20">
        <f>E700</f>
        <v>3401.1</v>
      </c>
      <c r="F699" s="20">
        <f t="shared" ref="F699:G699" si="284">F700</f>
        <v>0</v>
      </c>
      <c r="G699" s="20">
        <f t="shared" si="284"/>
        <v>0</v>
      </c>
    </row>
    <row r="700" spans="1:7" ht="47.25" outlineLevel="2" x14ac:dyDescent="0.25">
      <c r="A700" s="21" t="s">
        <v>560</v>
      </c>
      <c r="B700" s="19" t="s">
        <v>106</v>
      </c>
      <c r="C700" s="19" t="s">
        <v>564</v>
      </c>
      <c r="D700" s="19"/>
      <c r="E700" s="20">
        <f>E701+E703</f>
        <v>3401.1</v>
      </c>
      <c r="F700" s="20">
        <f t="shared" ref="F700:G700" si="285">F701+F703</f>
        <v>0</v>
      </c>
      <c r="G700" s="20">
        <f t="shared" si="285"/>
        <v>0</v>
      </c>
    </row>
    <row r="701" spans="1:7" ht="94.5" outlineLevel="2" x14ac:dyDescent="0.25">
      <c r="A701" s="21" t="s">
        <v>561</v>
      </c>
      <c r="B701" s="19" t="s">
        <v>106</v>
      </c>
      <c r="C701" s="19" t="s">
        <v>565</v>
      </c>
      <c r="D701" s="19"/>
      <c r="E701" s="20">
        <f>E702</f>
        <v>1048</v>
      </c>
      <c r="F701" s="20">
        <f t="shared" ref="F701:G701" si="286">F702</f>
        <v>0</v>
      </c>
      <c r="G701" s="20">
        <f t="shared" si="286"/>
        <v>0</v>
      </c>
    </row>
    <row r="702" spans="1:7" ht="47.25" outlineLevel="2" x14ac:dyDescent="0.25">
      <c r="A702" s="21" t="s">
        <v>94</v>
      </c>
      <c r="B702" s="19" t="s">
        <v>106</v>
      </c>
      <c r="C702" s="19" t="s">
        <v>565</v>
      </c>
      <c r="D702" s="19" t="s">
        <v>95</v>
      </c>
      <c r="E702" s="20">
        <f>72.7+975.3</f>
        <v>1048</v>
      </c>
      <c r="F702" s="20">
        <v>0</v>
      </c>
      <c r="G702" s="20">
        <v>0</v>
      </c>
    </row>
    <row r="703" spans="1:7" ht="78.75" outlineLevel="2" x14ac:dyDescent="0.25">
      <c r="A703" s="21" t="s">
        <v>562</v>
      </c>
      <c r="B703" s="19" t="s">
        <v>106</v>
      </c>
      <c r="C703" s="19" t="s">
        <v>566</v>
      </c>
      <c r="D703" s="19"/>
      <c r="E703" s="20">
        <f>E704</f>
        <v>2353.1</v>
      </c>
      <c r="F703" s="20">
        <f t="shared" ref="F703:G703" si="287">F704</f>
        <v>0</v>
      </c>
      <c r="G703" s="20">
        <f t="shared" si="287"/>
        <v>0</v>
      </c>
    </row>
    <row r="704" spans="1:7" ht="47.25" outlineLevel="2" x14ac:dyDescent="0.25">
      <c r="A704" s="21" t="s">
        <v>94</v>
      </c>
      <c r="B704" s="19" t="s">
        <v>106</v>
      </c>
      <c r="C704" s="19" t="s">
        <v>566</v>
      </c>
      <c r="D704" s="19" t="s">
        <v>95</v>
      </c>
      <c r="E704" s="20">
        <f>353.1+2000</f>
        <v>2353.1</v>
      </c>
      <c r="F704" s="20">
        <v>0</v>
      </c>
      <c r="G704" s="20">
        <v>0</v>
      </c>
    </row>
    <row r="705" spans="1:7" ht="47.25" outlineLevel="2" x14ac:dyDescent="0.25">
      <c r="A705" s="18" t="s">
        <v>746</v>
      </c>
      <c r="B705" s="19" t="s">
        <v>106</v>
      </c>
      <c r="C705" s="19" t="s">
        <v>748</v>
      </c>
      <c r="D705" s="19"/>
      <c r="E705" s="3">
        <f>E707</f>
        <v>8720.9</v>
      </c>
      <c r="F705" s="3">
        <f>F707</f>
        <v>20348.8</v>
      </c>
      <c r="G705" s="20">
        <v>0</v>
      </c>
    </row>
    <row r="706" spans="1:7" ht="31.5" outlineLevel="2" x14ac:dyDescent="0.25">
      <c r="A706" s="18" t="s">
        <v>783</v>
      </c>
      <c r="B706" s="19" t="s">
        <v>106</v>
      </c>
      <c r="C706" s="19" t="s">
        <v>784</v>
      </c>
      <c r="D706" s="19"/>
      <c r="E706" s="3">
        <f>E707</f>
        <v>8720.9</v>
      </c>
      <c r="F706" s="3">
        <f>F707</f>
        <v>20348.8</v>
      </c>
      <c r="G706" s="20">
        <f>G707</f>
        <v>0</v>
      </c>
    </row>
    <row r="707" spans="1:7" ht="70.5" customHeight="1" outlineLevel="2" x14ac:dyDescent="0.25">
      <c r="A707" s="18" t="s">
        <v>747</v>
      </c>
      <c r="B707" s="19" t="s">
        <v>106</v>
      </c>
      <c r="C707" s="19" t="s">
        <v>785</v>
      </c>
      <c r="D707" s="19"/>
      <c r="E707" s="3">
        <f t="shared" ref="E707:F707" si="288">E708</f>
        <v>8720.9</v>
      </c>
      <c r="F707" s="3">
        <f t="shared" si="288"/>
        <v>20348.8</v>
      </c>
      <c r="G707" s="20">
        <v>0</v>
      </c>
    </row>
    <row r="708" spans="1:7" ht="47.25" outlineLevel="2" x14ac:dyDescent="0.25">
      <c r="A708" s="18" t="s">
        <v>310</v>
      </c>
      <c r="B708" s="19" t="s">
        <v>106</v>
      </c>
      <c r="C708" s="19" t="s">
        <v>785</v>
      </c>
      <c r="D708" s="19" t="s">
        <v>464</v>
      </c>
      <c r="E708" s="3">
        <v>8720.9</v>
      </c>
      <c r="F708" s="3">
        <v>20348.8</v>
      </c>
      <c r="G708" s="20">
        <v>0</v>
      </c>
    </row>
    <row r="709" spans="1:7" outlineLevel="2" x14ac:dyDescent="0.25">
      <c r="A709" s="21" t="s">
        <v>144</v>
      </c>
      <c r="B709" s="31" t="s">
        <v>106</v>
      </c>
      <c r="C709" s="31" t="s">
        <v>107</v>
      </c>
      <c r="D709" s="31"/>
      <c r="E709" s="20">
        <f>E710</f>
        <v>370930.1</v>
      </c>
      <c r="F709" s="20">
        <f>F710</f>
        <v>292121.90000000002</v>
      </c>
      <c r="G709" s="20">
        <f>G710</f>
        <v>330195.3</v>
      </c>
    </row>
    <row r="710" spans="1:7" ht="78.75" outlineLevel="2" x14ac:dyDescent="0.25">
      <c r="A710" s="21" t="s">
        <v>154</v>
      </c>
      <c r="B710" s="31" t="s">
        <v>106</v>
      </c>
      <c r="C710" s="31" t="s">
        <v>108</v>
      </c>
      <c r="D710" s="2"/>
      <c r="E710" s="20">
        <f>E711</f>
        <v>370930.1</v>
      </c>
      <c r="F710" s="20">
        <f t="shared" si="279"/>
        <v>292121.90000000002</v>
      </c>
      <c r="G710" s="20">
        <f t="shared" si="279"/>
        <v>330195.3</v>
      </c>
    </row>
    <row r="711" spans="1:7" ht="47.25" outlineLevel="2" x14ac:dyDescent="0.25">
      <c r="A711" s="21" t="s">
        <v>151</v>
      </c>
      <c r="B711" s="31" t="s">
        <v>106</v>
      </c>
      <c r="C711" s="31" t="s">
        <v>109</v>
      </c>
      <c r="D711" s="31"/>
      <c r="E711" s="20">
        <f>E712</f>
        <v>370930.1</v>
      </c>
      <c r="F711" s="20">
        <f t="shared" si="279"/>
        <v>292121.90000000002</v>
      </c>
      <c r="G711" s="20">
        <f t="shared" si="279"/>
        <v>330195.3</v>
      </c>
    </row>
    <row r="712" spans="1:7" ht="47.25" outlineLevel="2" x14ac:dyDescent="0.25">
      <c r="A712" s="21" t="s">
        <v>94</v>
      </c>
      <c r="B712" s="31" t="s">
        <v>106</v>
      </c>
      <c r="C712" s="31" t="s">
        <v>109</v>
      </c>
      <c r="D712" s="31" t="s">
        <v>95</v>
      </c>
      <c r="E712" s="20">
        <f>106170+121093.6+74467.9+15250+4625.6-491.8+18992.2+24073.6+312.3+500-9130.2+14498.7+568.2</f>
        <v>370930.1</v>
      </c>
      <c r="F712" s="20">
        <f>312946.9-476.2-20348.8</f>
        <v>292121.90000000002</v>
      </c>
      <c r="G712" s="20">
        <f>330680.5-485.2</f>
        <v>330195.3</v>
      </c>
    </row>
    <row r="713" spans="1:7" ht="31.5" outlineLevel="1" x14ac:dyDescent="0.25">
      <c r="A713" s="21" t="s">
        <v>110</v>
      </c>
      <c r="B713" s="31" t="s">
        <v>111</v>
      </c>
      <c r="C713" s="31"/>
      <c r="D713" s="31"/>
      <c r="E713" s="20">
        <f>E714</f>
        <v>92528.200000000012</v>
      </c>
      <c r="F713" s="20">
        <f t="shared" ref="F713:G713" si="289">F714</f>
        <v>92176.3</v>
      </c>
      <c r="G713" s="20">
        <f t="shared" si="289"/>
        <v>92872.699999999983</v>
      </c>
    </row>
    <row r="714" spans="1:7" ht="31.5" outlineLevel="2" x14ac:dyDescent="0.25">
      <c r="A714" s="21" t="s">
        <v>153</v>
      </c>
      <c r="B714" s="31" t="s">
        <v>111</v>
      </c>
      <c r="C714" s="31" t="s">
        <v>96</v>
      </c>
      <c r="D714" s="31"/>
      <c r="E714" s="20">
        <f>E715+E719</f>
        <v>92528.200000000012</v>
      </c>
      <c r="F714" s="20">
        <f t="shared" ref="F714:G714" si="290">F715+F719</f>
        <v>92176.3</v>
      </c>
      <c r="G714" s="20">
        <f t="shared" si="290"/>
        <v>92872.699999999983</v>
      </c>
    </row>
    <row r="715" spans="1:7" ht="31.5" outlineLevel="2" x14ac:dyDescent="0.25">
      <c r="A715" s="21" t="s">
        <v>155</v>
      </c>
      <c r="B715" s="31" t="s">
        <v>111</v>
      </c>
      <c r="C715" s="31" t="s">
        <v>97</v>
      </c>
      <c r="D715" s="31"/>
      <c r="E715" s="20">
        <f>E716</f>
        <v>1576</v>
      </c>
      <c r="F715" s="20">
        <f t="shared" ref="F715:G715" si="291">F716</f>
        <v>1414.4</v>
      </c>
      <c r="G715" s="20">
        <f t="shared" si="291"/>
        <v>1414.4</v>
      </c>
    </row>
    <row r="716" spans="1:7" ht="47.25" outlineLevel="2" x14ac:dyDescent="0.25">
      <c r="A716" s="21" t="s">
        <v>156</v>
      </c>
      <c r="B716" s="31" t="s">
        <v>111</v>
      </c>
      <c r="C716" s="31" t="s">
        <v>98</v>
      </c>
      <c r="D716" s="31"/>
      <c r="E716" s="20">
        <f>E717</f>
        <v>1576</v>
      </c>
      <c r="F716" s="20">
        <f>F717</f>
        <v>1414.4</v>
      </c>
      <c r="G716" s="20">
        <f>G717</f>
        <v>1414.4</v>
      </c>
    </row>
    <row r="717" spans="1:7" ht="126" outlineLevel="2" x14ac:dyDescent="0.25">
      <c r="A717" s="21" t="s">
        <v>157</v>
      </c>
      <c r="B717" s="31" t="s">
        <v>111</v>
      </c>
      <c r="C717" s="31" t="s">
        <v>158</v>
      </c>
      <c r="D717" s="31"/>
      <c r="E717" s="20">
        <f>E718</f>
        <v>1576</v>
      </c>
      <c r="F717" s="20">
        <f>F718</f>
        <v>1414.4</v>
      </c>
      <c r="G717" s="20">
        <f>G718</f>
        <v>1414.4</v>
      </c>
    </row>
    <row r="718" spans="1:7" ht="47.25" outlineLevel="2" x14ac:dyDescent="0.25">
      <c r="A718" s="21" t="s">
        <v>94</v>
      </c>
      <c r="B718" s="31" t="s">
        <v>111</v>
      </c>
      <c r="C718" s="31" t="s">
        <v>158</v>
      </c>
      <c r="D718" s="31">
        <v>600</v>
      </c>
      <c r="E718" s="20">
        <f>1414.4+161.6</f>
        <v>1576</v>
      </c>
      <c r="F718" s="20">
        <v>1414.4</v>
      </c>
      <c r="G718" s="20">
        <v>1414.4</v>
      </c>
    </row>
    <row r="719" spans="1:7" outlineLevel="2" x14ac:dyDescent="0.25">
      <c r="A719" s="21" t="s">
        <v>144</v>
      </c>
      <c r="B719" s="31" t="s">
        <v>111</v>
      </c>
      <c r="C719" s="31" t="s">
        <v>107</v>
      </c>
      <c r="D719" s="31"/>
      <c r="E719" s="20">
        <f>E720+E726+E731</f>
        <v>90952.200000000012</v>
      </c>
      <c r="F719" s="20">
        <f t="shared" ref="F719:G719" si="292">F720+F726+F731</f>
        <v>90761.900000000009</v>
      </c>
      <c r="G719" s="20">
        <f t="shared" si="292"/>
        <v>91458.299999999988</v>
      </c>
    </row>
    <row r="720" spans="1:7" ht="78.75" outlineLevel="2" x14ac:dyDescent="0.25">
      <c r="A720" s="21" t="s">
        <v>154</v>
      </c>
      <c r="B720" s="31" t="s">
        <v>111</v>
      </c>
      <c r="C720" s="31" t="s">
        <v>108</v>
      </c>
      <c r="D720" s="31"/>
      <c r="E720" s="20">
        <f>E721+E724</f>
        <v>88593.900000000009</v>
      </c>
      <c r="F720" s="20">
        <f t="shared" ref="F720:G720" si="293">F721+F724</f>
        <v>89077.900000000009</v>
      </c>
      <c r="G720" s="20">
        <f t="shared" si="293"/>
        <v>89774.299999999988</v>
      </c>
    </row>
    <row r="721" spans="1:7" ht="47.25" outlineLevel="2" x14ac:dyDescent="0.25">
      <c r="A721" s="21" t="s">
        <v>159</v>
      </c>
      <c r="B721" s="31" t="s">
        <v>111</v>
      </c>
      <c r="C721" s="31" t="s">
        <v>160</v>
      </c>
      <c r="D721" s="31"/>
      <c r="E721" s="20">
        <f>E722+E723</f>
        <v>14338.3</v>
      </c>
      <c r="F721" s="20">
        <f t="shared" ref="F721:G721" si="294">F722+F723</f>
        <v>14142.3</v>
      </c>
      <c r="G721" s="20">
        <f t="shared" si="294"/>
        <v>14131.4</v>
      </c>
    </row>
    <row r="722" spans="1:7" ht="84.75" customHeight="1" outlineLevel="2" x14ac:dyDescent="0.25">
      <c r="A722" s="21" t="s">
        <v>75</v>
      </c>
      <c r="B722" s="31" t="s">
        <v>111</v>
      </c>
      <c r="C722" s="31" t="s">
        <v>160</v>
      </c>
      <c r="D722" s="31" t="s">
        <v>38</v>
      </c>
      <c r="E722" s="20">
        <f>13183.3+636</f>
        <v>13819.3</v>
      </c>
      <c r="F722" s="20">
        <v>13623.3</v>
      </c>
      <c r="G722" s="20">
        <v>13623.3</v>
      </c>
    </row>
    <row r="723" spans="1:7" ht="32.25" customHeight="1" outlineLevel="2" x14ac:dyDescent="0.25">
      <c r="A723" s="21" t="s">
        <v>76</v>
      </c>
      <c r="B723" s="31" t="s">
        <v>111</v>
      </c>
      <c r="C723" s="31" t="s">
        <v>160</v>
      </c>
      <c r="D723" s="31" t="s">
        <v>39</v>
      </c>
      <c r="E723" s="20">
        <v>519</v>
      </c>
      <c r="F723" s="20">
        <v>519</v>
      </c>
      <c r="G723" s="20">
        <v>508.1</v>
      </c>
    </row>
    <row r="724" spans="1:7" ht="33.75" customHeight="1" outlineLevel="2" x14ac:dyDescent="0.25">
      <c r="A724" s="21" t="s">
        <v>151</v>
      </c>
      <c r="B724" s="31" t="s">
        <v>111</v>
      </c>
      <c r="C724" s="31" t="s">
        <v>109</v>
      </c>
      <c r="D724" s="31"/>
      <c r="E724" s="20">
        <f>E725</f>
        <v>74255.600000000006</v>
      </c>
      <c r="F724" s="20">
        <f>F725</f>
        <v>74935.600000000006</v>
      </c>
      <c r="G724" s="20">
        <f>G725</f>
        <v>75642.899999999994</v>
      </c>
    </row>
    <row r="725" spans="1:7" ht="47.25" outlineLevel="2" x14ac:dyDescent="0.25">
      <c r="A725" s="21" t="s">
        <v>94</v>
      </c>
      <c r="B725" s="31" t="s">
        <v>111</v>
      </c>
      <c r="C725" s="31" t="s">
        <v>109</v>
      </c>
      <c r="D725" s="31" t="s">
        <v>95</v>
      </c>
      <c r="E725" s="20">
        <v>74255.600000000006</v>
      </c>
      <c r="F725" s="20">
        <v>74935.600000000006</v>
      </c>
      <c r="G725" s="20">
        <v>75642.899999999994</v>
      </c>
    </row>
    <row r="726" spans="1:7" ht="47.25" outlineLevel="2" x14ac:dyDescent="0.25">
      <c r="A726" s="21" t="s">
        <v>504</v>
      </c>
      <c r="B726" s="31" t="s">
        <v>111</v>
      </c>
      <c r="C726" s="31" t="s">
        <v>161</v>
      </c>
      <c r="D726" s="31"/>
      <c r="E726" s="20">
        <f>E727+E729</f>
        <v>1651.2</v>
      </c>
      <c r="F726" s="20">
        <f t="shared" ref="F726:G726" si="295">F727+F729</f>
        <v>1169</v>
      </c>
      <c r="G726" s="20">
        <f t="shared" si="295"/>
        <v>1169</v>
      </c>
    </row>
    <row r="727" spans="1:7" ht="31.5" outlineLevel="2" x14ac:dyDescent="0.25">
      <c r="A727" s="21" t="s">
        <v>162</v>
      </c>
      <c r="B727" s="31" t="s">
        <v>111</v>
      </c>
      <c r="C727" s="31" t="s">
        <v>163</v>
      </c>
      <c r="D727" s="31"/>
      <c r="E727" s="20">
        <f>E728</f>
        <v>482.2</v>
      </c>
      <c r="F727" s="20">
        <f t="shared" ref="F727:G727" si="296">F728</f>
        <v>565.79999999999995</v>
      </c>
      <c r="G727" s="20">
        <f t="shared" si="296"/>
        <v>565.79999999999995</v>
      </c>
    </row>
    <row r="728" spans="1:7" ht="31.5" outlineLevel="2" x14ac:dyDescent="0.25">
      <c r="A728" s="21" t="s">
        <v>76</v>
      </c>
      <c r="B728" s="31" t="s">
        <v>111</v>
      </c>
      <c r="C728" s="31" t="s">
        <v>163</v>
      </c>
      <c r="D728" s="31" t="s">
        <v>39</v>
      </c>
      <c r="E728" s="20">
        <f>380.8-380.8+482.2</f>
        <v>482.2</v>
      </c>
      <c r="F728" s="20">
        <v>565.79999999999995</v>
      </c>
      <c r="G728" s="20">
        <v>565.79999999999995</v>
      </c>
    </row>
    <row r="729" spans="1:7" ht="47.25" outlineLevel="2" x14ac:dyDescent="0.25">
      <c r="A729" s="21" t="s">
        <v>164</v>
      </c>
      <c r="B729" s="31" t="s">
        <v>111</v>
      </c>
      <c r="C729" s="31" t="s">
        <v>165</v>
      </c>
      <c r="D729" s="31"/>
      <c r="E729" s="20">
        <f>E730</f>
        <v>1169</v>
      </c>
      <c r="F729" s="20">
        <f t="shared" ref="F729:G729" si="297">F730</f>
        <v>603.20000000000005</v>
      </c>
      <c r="G729" s="20">
        <f t="shared" si="297"/>
        <v>603.20000000000005</v>
      </c>
    </row>
    <row r="730" spans="1:7" ht="47.25" outlineLevel="2" x14ac:dyDescent="0.25">
      <c r="A730" s="21" t="s">
        <v>94</v>
      </c>
      <c r="B730" s="31" t="s">
        <v>111</v>
      </c>
      <c r="C730" s="31" t="s">
        <v>165</v>
      </c>
      <c r="D730" s="31">
        <v>600</v>
      </c>
      <c r="E730" s="20">
        <f>788.2+380.8</f>
        <v>1169</v>
      </c>
      <c r="F730" s="20">
        <v>603.20000000000005</v>
      </c>
      <c r="G730" s="20">
        <v>603.20000000000005</v>
      </c>
    </row>
    <row r="731" spans="1:7" ht="47.25" outlineLevel="2" x14ac:dyDescent="0.25">
      <c r="A731" s="21" t="s">
        <v>166</v>
      </c>
      <c r="B731" s="31" t="s">
        <v>111</v>
      </c>
      <c r="C731" s="31" t="s">
        <v>167</v>
      </c>
      <c r="D731" s="59"/>
      <c r="E731" s="20">
        <f>E732+E734</f>
        <v>707.1</v>
      </c>
      <c r="F731" s="20">
        <f t="shared" ref="F731:G731" si="298">F732+F734</f>
        <v>515</v>
      </c>
      <c r="G731" s="20">
        <f t="shared" si="298"/>
        <v>515</v>
      </c>
    </row>
    <row r="732" spans="1:7" ht="49.5" customHeight="1" outlineLevel="2" x14ac:dyDescent="0.25">
      <c r="A732" s="9" t="s">
        <v>168</v>
      </c>
      <c r="B732" s="31" t="s">
        <v>111</v>
      </c>
      <c r="C732" s="31" t="s">
        <v>505</v>
      </c>
      <c r="D732" s="31"/>
      <c r="E732" s="20">
        <f>E733</f>
        <v>408.1</v>
      </c>
      <c r="F732" s="20">
        <f>F733</f>
        <v>216</v>
      </c>
      <c r="G732" s="20">
        <f>G733</f>
        <v>216</v>
      </c>
    </row>
    <row r="733" spans="1:7" ht="31.5" outlineLevel="2" x14ac:dyDescent="0.25">
      <c r="A733" s="9" t="s">
        <v>20</v>
      </c>
      <c r="B733" s="31" t="s">
        <v>111</v>
      </c>
      <c r="C733" s="31" t="s">
        <v>505</v>
      </c>
      <c r="D733" s="31">
        <v>300</v>
      </c>
      <c r="E733" s="20">
        <f>216+192.1</f>
        <v>408.1</v>
      </c>
      <c r="F733" s="20">
        <v>216</v>
      </c>
      <c r="G733" s="20">
        <v>216</v>
      </c>
    </row>
    <row r="734" spans="1:7" ht="47.25" outlineLevel="2" x14ac:dyDescent="0.25">
      <c r="A734" s="21" t="s">
        <v>169</v>
      </c>
      <c r="B734" s="31" t="s">
        <v>111</v>
      </c>
      <c r="C734" s="31" t="s">
        <v>170</v>
      </c>
      <c r="D734" s="31"/>
      <c r="E734" s="20">
        <f>E735</f>
        <v>299</v>
      </c>
      <c r="F734" s="20">
        <f>F735</f>
        <v>299</v>
      </c>
      <c r="G734" s="20">
        <f>G735</f>
        <v>299</v>
      </c>
    </row>
    <row r="735" spans="1:7" ht="25.5" customHeight="1" outlineLevel="2" x14ac:dyDescent="0.25">
      <c r="A735" s="9" t="s">
        <v>20</v>
      </c>
      <c r="B735" s="31" t="s">
        <v>111</v>
      </c>
      <c r="C735" s="31" t="s">
        <v>171</v>
      </c>
      <c r="D735" s="31">
        <v>300</v>
      </c>
      <c r="E735" s="20">
        <v>299</v>
      </c>
      <c r="F735" s="20">
        <v>299</v>
      </c>
      <c r="G735" s="20">
        <v>299</v>
      </c>
    </row>
    <row r="736" spans="1:7" x14ac:dyDescent="0.25">
      <c r="A736" s="60" t="s">
        <v>119</v>
      </c>
      <c r="B736" s="15" t="s">
        <v>120</v>
      </c>
      <c r="C736" s="15"/>
      <c r="D736" s="16"/>
      <c r="E736" s="32">
        <f>E737+E741+E756</f>
        <v>436710.29999999993</v>
      </c>
      <c r="F736" s="32">
        <f>F737+F741+F756</f>
        <v>372779.7</v>
      </c>
      <c r="G736" s="32">
        <f>G737+G741+G756</f>
        <v>387789.7</v>
      </c>
    </row>
    <row r="737" spans="1:7" outlineLevel="1" x14ac:dyDescent="0.25">
      <c r="A737" s="18" t="s">
        <v>121</v>
      </c>
      <c r="B737" s="19" t="s">
        <v>122</v>
      </c>
      <c r="C737" s="19"/>
      <c r="D737" s="10"/>
      <c r="E737" s="20">
        <f>E738</f>
        <v>11788.2</v>
      </c>
      <c r="F737" s="20">
        <f t="shared" ref="F737:G739" si="299">F738</f>
        <v>12159.6</v>
      </c>
      <c r="G737" s="20">
        <f t="shared" si="299"/>
        <v>12159.6</v>
      </c>
    </row>
    <row r="738" spans="1:7" outlineLevel="2" x14ac:dyDescent="0.25">
      <c r="A738" s="18" t="s">
        <v>9</v>
      </c>
      <c r="B738" s="19" t="s">
        <v>122</v>
      </c>
      <c r="C738" s="19" t="s">
        <v>10</v>
      </c>
      <c r="D738" s="10"/>
      <c r="E738" s="20">
        <f>E739</f>
        <v>11788.2</v>
      </c>
      <c r="F738" s="20">
        <f t="shared" si="299"/>
        <v>12159.6</v>
      </c>
      <c r="G738" s="20">
        <f t="shared" si="299"/>
        <v>12159.6</v>
      </c>
    </row>
    <row r="739" spans="1:7" outlineLevel="2" x14ac:dyDescent="0.25">
      <c r="A739" s="18" t="s">
        <v>123</v>
      </c>
      <c r="B739" s="19" t="s">
        <v>122</v>
      </c>
      <c r="C739" s="19" t="s">
        <v>124</v>
      </c>
      <c r="D739" s="10"/>
      <c r="E739" s="20">
        <f>E740</f>
        <v>11788.2</v>
      </c>
      <c r="F739" s="20">
        <f t="shared" si="299"/>
        <v>12159.6</v>
      </c>
      <c r="G739" s="20">
        <f t="shared" si="299"/>
        <v>12159.6</v>
      </c>
    </row>
    <row r="740" spans="1:7" ht="31.5" outlineLevel="2" x14ac:dyDescent="0.25">
      <c r="A740" s="18" t="s">
        <v>20</v>
      </c>
      <c r="B740" s="19" t="s">
        <v>122</v>
      </c>
      <c r="C740" s="19" t="s">
        <v>124</v>
      </c>
      <c r="D740" s="10">
        <v>300</v>
      </c>
      <c r="E740" s="20">
        <v>11788.2</v>
      </c>
      <c r="F740" s="20">
        <v>12159.6</v>
      </c>
      <c r="G740" s="20">
        <v>12159.6</v>
      </c>
    </row>
    <row r="741" spans="1:7" outlineLevel="1" x14ac:dyDescent="0.25">
      <c r="A741" s="18" t="s">
        <v>125</v>
      </c>
      <c r="B741" s="19" t="s">
        <v>126</v>
      </c>
      <c r="C741" s="19"/>
      <c r="D741" s="10"/>
      <c r="E741" s="20">
        <f>E742+E747</f>
        <v>38298.1</v>
      </c>
      <c r="F741" s="20">
        <f>F742+F747</f>
        <v>16159.2</v>
      </c>
      <c r="G741" s="20">
        <f>G742+G747</f>
        <v>17055.900000000001</v>
      </c>
    </row>
    <row r="742" spans="1:7" outlineLevel="2" x14ac:dyDescent="0.25">
      <c r="A742" s="18" t="s">
        <v>9</v>
      </c>
      <c r="B742" s="19" t="s">
        <v>126</v>
      </c>
      <c r="C742" s="19" t="s">
        <v>10</v>
      </c>
      <c r="D742" s="10"/>
      <c r="E742" s="20">
        <f>E743+E745</f>
        <v>5150.1000000000004</v>
      </c>
      <c r="F742" s="20">
        <f t="shared" ref="F742:G742" si="300">F743+F745</f>
        <v>5532.5</v>
      </c>
      <c r="G742" s="20">
        <f t="shared" si="300"/>
        <v>6087.4</v>
      </c>
    </row>
    <row r="743" spans="1:7" ht="31.5" outlineLevel="2" x14ac:dyDescent="0.25">
      <c r="A743" s="18" t="s">
        <v>127</v>
      </c>
      <c r="B743" s="19" t="s">
        <v>126</v>
      </c>
      <c r="C743" s="19" t="s">
        <v>128</v>
      </c>
      <c r="D743" s="10"/>
      <c r="E743" s="20">
        <f>E744</f>
        <v>2684.5</v>
      </c>
      <c r="F743" s="20">
        <f t="shared" ref="F743:G743" si="301">F744</f>
        <v>2894.5</v>
      </c>
      <c r="G743" s="20">
        <f t="shared" si="301"/>
        <v>3104.5</v>
      </c>
    </row>
    <row r="744" spans="1:7" ht="31.5" outlineLevel="2" x14ac:dyDescent="0.25">
      <c r="A744" s="18" t="s">
        <v>20</v>
      </c>
      <c r="B744" s="19" t="s">
        <v>126</v>
      </c>
      <c r="C744" s="19" t="s">
        <v>128</v>
      </c>
      <c r="D744" s="10">
        <v>300</v>
      </c>
      <c r="E744" s="20">
        <v>2684.5</v>
      </c>
      <c r="F744" s="20">
        <v>2894.5</v>
      </c>
      <c r="G744" s="20">
        <v>3104.5</v>
      </c>
    </row>
    <row r="745" spans="1:7" ht="47.25" outlineLevel="2" x14ac:dyDescent="0.25">
      <c r="A745" s="18" t="s">
        <v>129</v>
      </c>
      <c r="B745" s="19" t="s">
        <v>126</v>
      </c>
      <c r="C745" s="19" t="s">
        <v>130</v>
      </c>
      <c r="D745" s="10"/>
      <c r="E745" s="20">
        <f>E746</f>
        <v>2465.6</v>
      </c>
      <c r="F745" s="20">
        <f t="shared" ref="F745:G745" si="302">F746</f>
        <v>2638</v>
      </c>
      <c r="G745" s="20">
        <f t="shared" si="302"/>
        <v>2982.9</v>
      </c>
    </row>
    <row r="746" spans="1:7" ht="31.5" outlineLevel="2" x14ac:dyDescent="0.25">
      <c r="A746" s="18" t="s">
        <v>20</v>
      </c>
      <c r="B746" s="19" t="s">
        <v>126</v>
      </c>
      <c r="C746" s="19" t="s">
        <v>130</v>
      </c>
      <c r="D746" s="10">
        <v>300</v>
      </c>
      <c r="E746" s="20">
        <f>1948.3+517.3</f>
        <v>2465.6</v>
      </c>
      <c r="F746" s="20">
        <v>2638</v>
      </c>
      <c r="G746" s="20">
        <v>2982.9</v>
      </c>
    </row>
    <row r="747" spans="1:7" ht="47.25" outlineLevel="2" x14ac:dyDescent="0.25">
      <c r="A747" s="30" t="s">
        <v>59</v>
      </c>
      <c r="B747" s="24" t="s">
        <v>126</v>
      </c>
      <c r="C747" s="24" t="s">
        <v>60</v>
      </c>
      <c r="D747" s="25"/>
      <c r="E747" s="20">
        <f>E748</f>
        <v>33148</v>
      </c>
      <c r="F747" s="20">
        <f t="shared" ref="F747:G748" si="303">F748</f>
        <v>10626.7</v>
      </c>
      <c r="G747" s="20">
        <f t="shared" si="303"/>
        <v>10968.500000000002</v>
      </c>
    </row>
    <row r="748" spans="1:7" ht="17.25" customHeight="1" outlineLevel="2" x14ac:dyDescent="0.25">
      <c r="A748" s="33" t="s">
        <v>155</v>
      </c>
      <c r="B748" s="31" t="s">
        <v>126</v>
      </c>
      <c r="C748" s="31" t="s">
        <v>451</v>
      </c>
      <c r="D748" s="25"/>
      <c r="E748" s="20">
        <f>E749</f>
        <v>33148</v>
      </c>
      <c r="F748" s="20">
        <f t="shared" si="303"/>
        <v>10626.7</v>
      </c>
      <c r="G748" s="20">
        <f t="shared" si="303"/>
        <v>10968.500000000002</v>
      </c>
    </row>
    <row r="749" spans="1:7" ht="47.25" outlineLevel="2" x14ac:dyDescent="0.25">
      <c r="A749" s="30" t="s">
        <v>498</v>
      </c>
      <c r="B749" s="24" t="s">
        <v>126</v>
      </c>
      <c r="C749" s="24" t="s">
        <v>452</v>
      </c>
      <c r="D749" s="25"/>
      <c r="E749" s="20">
        <f>E750+E752+E754</f>
        <v>33148</v>
      </c>
      <c r="F749" s="20">
        <f t="shared" ref="F749:G749" si="304">F750+F752+F754</f>
        <v>10626.7</v>
      </c>
      <c r="G749" s="20">
        <f t="shared" si="304"/>
        <v>10968.500000000002</v>
      </c>
    </row>
    <row r="750" spans="1:7" ht="78.75" outlineLevel="2" x14ac:dyDescent="0.25">
      <c r="A750" s="30" t="s">
        <v>453</v>
      </c>
      <c r="B750" s="24" t="s">
        <v>454</v>
      </c>
      <c r="C750" s="24" t="s">
        <v>455</v>
      </c>
      <c r="D750" s="25"/>
      <c r="E750" s="20">
        <f>E751</f>
        <v>1675.6</v>
      </c>
      <c r="F750" s="20">
        <f t="shared" ref="F750:G750" si="305">F751</f>
        <v>335.1</v>
      </c>
      <c r="G750" s="20">
        <f t="shared" si="305"/>
        <v>335.1</v>
      </c>
    </row>
    <row r="751" spans="1:7" ht="31.5" outlineLevel="2" x14ac:dyDescent="0.25">
      <c r="A751" s="30" t="s">
        <v>20</v>
      </c>
      <c r="B751" s="24" t="s">
        <v>454</v>
      </c>
      <c r="C751" s="24" t="s">
        <v>455</v>
      </c>
      <c r="D751" s="25">
        <v>300</v>
      </c>
      <c r="E751" s="20">
        <v>1675.6</v>
      </c>
      <c r="F751" s="20">
        <v>335.1</v>
      </c>
      <c r="G751" s="20">
        <v>335.1</v>
      </c>
    </row>
    <row r="752" spans="1:7" ht="31.5" outlineLevel="2" x14ac:dyDescent="0.25">
      <c r="A752" s="30" t="s">
        <v>456</v>
      </c>
      <c r="B752" s="24" t="s">
        <v>126</v>
      </c>
      <c r="C752" s="24" t="s">
        <v>457</v>
      </c>
      <c r="D752" s="25"/>
      <c r="E752" s="20">
        <f>E753</f>
        <v>5972.4</v>
      </c>
      <c r="F752" s="20">
        <f>F753</f>
        <v>8956.6</v>
      </c>
      <c r="G752" s="20">
        <f>G753</f>
        <v>9320.2000000000007</v>
      </c>
    </row>
    <row r="753" spans="1:7" ht="31.5" outlineLevel="2" x14ac:dyDescent="0.25">
      <c r="A753" s="21" t="s">
        <v>20</v>
      </c>
      <c r="B753" s="24" t="s">
        <v>126</v>
      </c>
      <c r="C753" s="24" t="s">
        <v>457</v>
      </c>
      <c r="D753" s="25">
        <v>300</v>
      </c>
      <c r="E753" s="20">
        <f>5677.2+17.7+277.5</f>
        <v>5972.4</v>
      </c>
      <c r="F753" s="20">
        <f>5707+3054.6+195</f>
        <v>8956.6</v>
      </c>
      <c r="G753" s="20">
        <f>5707+216.8+3396.4</f>
        <v>9320.2000000000007</v>
      </c>
    </row>
    <row r="754" spans="1:7" ht="110.25" outlineLevel="2" x14ac:dyDescent="0.25">
      <c r="A754" s="1" t="s">
        <v>458</v>
      </c>
      <c r="B754" s="24" t="s">
        <v>126</v>
      </c>
      <c r="C754" s="2" t="s">
        <v>459</v>
      </c>
      <c r="D754" s="25"/>
      <c r="E754" s="20">
        <f>E755</f>
        <v>25500</v>
      </c>
      <c r="F754" s="20">
        <f>F755</f>
        <v>1335</v>
      </c>
      <c r="G754" s="20">
        <f>G755</f>
        <v>1313.2</v>
      </c>
    </row>
    <row r="755" spans="1:7" ht="31.5" outlineLevel="2" x14ac:dyDescent="0.25">
      <c r="A755" s="21" t="s">
        <v>20</v>
      </c>
      <c r="B755" s="24" t="s">
        <v>126</v>
      </c>
      <c r="C755" s="2" t="s">
        <v>459</v>
      </c>
      <c r="D755" s="25">
        <v>300</v>
      </c>
      <c r="E755" s="20">
        <v>25500</v>
      </c>
      <c r="F755" s="20">
        <f>25500-195-23970</f>
        <v>1335</v>
      </c>
      <c r="G755" s="20">
        <f>25500-23970-216.8</f>
        <v>1313.2</v>
      </c>
    </row>
    <row r="756" spans="1:7" outlineLevel="1" x14ac:dyDescent="0.25">
      <c r="A756" s="21" t="s">
        <v>136</v>
      </c>
      <c r="B756" s="19" t="s">
        <v>137</v>
      </c>
      <c r="C756" s="19"/>
      <c r="D756" s="19"/>
      <c r="E756" s="20">
        <f>E770+E757</f>
        <v>386623.99999999994</v>
      </c>
      <c r="F756" s="20">
        <f t="shared" ref="F756:G756" si="306">F770+F757</f>
        <v>344460.9</v>
      </c>
      <c r="G756" s="20">
        <f t="shared" si="306"/>
        <v>358574.2</v>
      </c>
    </row>
    <row r="757" spans="1:7" ht="47.25" outlineLevel="2" x14ac:dyDescent="0.25">
      <c r="A757" s="34" t="s">
        <v>59</v>
      </c>
      <c r="B757" s="24" t="s">
        <v>137</v>
      </c>
      <c r="C757" s="24" t="s">
        <v>60</v>
      </c>
      <c r="D757" s="2"/>
      <c r="E757" s="20">
        <f>E764+E758</f>
        <v>160329.19999999995</v>
      </c>
      <c r="F757" s="20">
        <f t="shared" ref="F757:G757" si="307">F764+F758</f>
        <v>99956.6</v>
      </c>
      <c r="G757" s="20">
        <f t="shared" si="307"/>
        <v>112539.1</v>
      </c>
    </row>
    <row r="758" spans="1:7" ht="19.5" customHeight="1" outlineLevel="2" x14ac:dyDescent="0.25">
      <c r="A758" s="33" t="s">
        <v>155</v>
      </c>
      <c r="B758" s="31" t="s">
        <v>137</v>
      </c>
      <c r="C758" s="31" t="s">
        <v>451</v>
      </c>
      <c r="D758" s="24"/>
      <c r="E758" s="20">
        <f>E759</f>
        <v>158174.39999999997</v>
      </c>
      <c r="F758" s="20">
        <f t="shared" ref="F758:G762" si="308">F759</f>
        <v>98162.200000000012</v>
      </c>
      <c r="G758" s="20">
        <f t="shared" si="308"/>
        <v>110669.3</v>
      </c>
    </row>
    <row r="759" spans="1:7" ht="47.25" outlineLevel="2" x14ac:dyDescent="0.25">
      <c r="A759" s="30" t="s">
        <v>498</v>
      </c>
      <c r="B759" s="24" t="s">
        <v>137</v>
      </c>
      <c r="C759" s="24" t="s">
        <v>452</v>
      </c>
      <c r="D759" s="24"/>
      <c r="E759" s="20">
        <f>E762+E760</f>
        <v>158174.39999999997</v>
      </c>
      <c r="F759" s="20">
        <f t="shared" ref="F759:G759" si="309">F762+F760</f>
        <v>98162.200000000012</v>
      </c>
      <c r="G759" s="20">
        <f t="shared" si="309"/>
        <v>110669.3</v>
      </c>
    </row>
    <row r="760" spans="1:7" ht="113.25" customHeight="1" outlineLevel="2" x14ac:dyDescent="0.25">
      <c r="A760" s="9" t="s">
        <v>626</v>
      </c>
      <c r="B760" s="24" t="s">
        <v>137</v>
      </c>
      <c r="C760" s="19" t="s">
        <v>627</v>
      </c>
      <c r="D760" s="19"/>
      <c r="E760" s="20">
        <f>E761</f>
        <v>92181.4</v>
      </c>
      <c r="F760" s="20">
        <f t="shared" ref="F760:G760" si="310">F761</f>
        <v>0</v>
      </c>
      <c r="G760" s="20">
        <f t="shared" si="310"/>
        <v>0</v>
      </c>
    </row>
    <row r="761" spans="1:7" ht="36.75" customHeight="1" outlineLevel="2" x14ac:dyDescent="0.25">
      <c r="A761" s="9" t="s">
        <v>310</v>
      </c>
      <c r="B761" s="24" t="s">
        <v>137</v>
      </c>
      <c r="C761" s="19" t="s">
        <v>627</v>
      </c>
      <c r="D761" s="19" t="s">
        <v>464</v>
      </c>
      <c r="E761" s="20">
        <f>42758.6-881.4+50304.2</f>
        <v>92181.4</v>
      </c>
      <c r="F761" s="20">
        <v>0</v>
      </c>
      <c r="G761" s="20">
        <v>0</v>
      </c>
    </row>
    <row r="762" spans="1:7" ht="63" outlineLevel="2" x14ac:dyDescent="0.25">
      <c r="A762" s="9" t="s">
        <v>637</v>
      </c>
      <c r="B762" s="24" t="s">
        <v>137</v>
      </c>
      <c r="C762" s="19" t="s">
        <v>463</v>
      </c>
      <c r="D762" s="24"/>
      <c r="E762" s="20">
        <f>E763</f>
        <v>65992.999999999985</v>
      </c>
      <c r="F762" s="20">
        <f t="shared" si="308"/>
        <v>98162.200000000012</v>
      </c>
      <c r="G762" s="20">
        <f t="shared" si="308"/>
        <v>110669.3</v>
      </c>
    </row>
    <row r="763" spans="1:7" ht="34.5" customHeight="1" outlineLevel="2" x14ac:dyDescent="0.25">
      <c r="A763" s="42" t="s">
        <v>310</v>
      </c>
      <c r="B763" s="24" t="s">
        <v>137</v>
      </c>
      <c r="C763" s="19" t="s">
        <v>463</v>
      </c>
      <c r="D763" s="24" t="s">
        <v>464</v>
      </c>
      <c r="E763" s="20">
        <f>51718.4+18707.5-3957.1-475.8</f>
        <v>65992.999999999985</v>
      </c>
      <c r="F763" s="20">
        <f>79252.1+18841.1+69</f>
        <v>98162.200000000012</v>
      </c>
      <c r="G763" s="20">
        <f>79252.1+31417.2</f>
        <v>110669.3</v>
      </c>
    </row>
    <row r="764" spans="1:7" outlineLevel="2" x14ac:dyDescent="0.25">
      <c r="A764" s="33" t="s">
        <v>144</v>
      </c>
      <c r="B764" s="24" t="s">
        <v>137</v>
      </c>
      <c r="C764" s="24" t="s">
        <v>135</v>
      </c>
      <c r="D764" s="2"/>
      <c r="E764" s="20">
        <f>E765</f>
        <v>2154.7999999999997</v>
      </c>
      <c r="F764" s="20">
        <f t="shared" ref="F764:G764" si="311">F765</f>
        <v>1794.4</v>
      </c>
      <c r="G764" s="20">
        <f t="shared" si="311"/>
        <v>1869.8</v>
      </c>
    </row>
    <row r="765" spans="1:7" ht="78.75" outlineLevel="2" x14ac:dyDescent="0.25">
      <c r="A765" s="9" t="s">
        <v>499</v>
      </c>
      <c r="B765" s="24" t="s">
        <v>137</v>
      </c>
      <c r="C765" s="19" t="s">
        <v>460</v>
      </c>
      <c r="D765" s="2"/>
      <c r="E765" s="20">
        <f>E766+E768</f>
        <v>2154.7999999999997</v>
      </c>
      <c r="F765" s="20">
        <f t="shared" ref="F765:G765" si="312">F766+F768</f>
        <v>1794.4</v>
      </c>
      <c r="G765" s="20">
        <f t="shared" si="312"/>
        <v>1869.8</v>
      </c>
    </row>
    <row r="766" spans="1:7" ht="97.5" customHeight="1" outlineLevel="2" x14ac:dyDescent="0.25">
      <c r="A766" s="33" t="s">
        <v>461</v>
      </c>
      <c r="B766" s="24" t="s">
        <v>137</v>
      </c>
      <c r="C766" s="19" t="s">
        <v>462</v>
      </c>
      <c r="D766" s="2"/>
      <c r="E766" s="20">
        <f>E767</f>
        <v>1205.8</v>
      </c>
      <c r="F766" s="20">
        <f t="shared" ref="F766:G766" si="313">F767</f>
        <v>1205.8</v>
      </c>
      <c r="G766" s="20">
        <f t="shared" si="313"/>
        <v>1205.8</v>
      </c>
    </row>
    <row r="767" spans="1:7" ht="31.5" outlineLevel="2" x14ac:dyDescent="0.25">
      <c r="A767" s="18" t="s">
        <v>20</v>
      </c>
      <c r="B767" s="19" t="s">
        <v>137</v>
      </c>
      <c r="C767" s="19" t="s">
        <v>462</v>
      </c>
      <c r="D767" s="10">
        <v>300</v>
      </c>
      <c r="E767" s="20">
        <f>201+1004.8</f>
        <v>1205.8</v>
      </c>
      <c r="F767" s="20">
        <f>201+1004.8</f>
        <v>1205.8</v>
      </c>
      <c r="G767" s="20">
        <f>201+1004.8</f>
        <v>1205.8</v>
      </c>
    </row>
    <row r="768" spans="1:7" ht="94.5" outlineLevel="2" x14ac:dyDescent="0.25">
      <c r="A768" s="1" t="s">
        <v>465</v>
      </c>
      <c r="B768" s="24" t="s">
        <v>137</v>
      </c>
      <c r="C768" s="19" t="s">
        <v>466</v>
      </c>
      <c r="D768" s="24"/>
      <c r="E768" s="20">
        <f>E769</f>
        <v>948.99999999999989</v>
      </c>
      <c r="F768" s="20">
        <f t="shared" ref="F768:G768" si="314">F769</f>
        <v>588.6</v>
      </c>
      <c r="G768" s="20">
        <f t="shared" si="314"/>
        <v>664</v>
      </c>
    </row>
    <row r="769" spans="1:7" ht="31.5" outlineLevel="2" x14ac:dyDescent="0.25">
      <c r="A769" s="21" t="s">
        <v>76</v>
      </c>
      <c r="B769" s="24" t="s">
        <v>137</v>
      </c>
      <c r="C769" s="19" t="s">
        <v>466</v>
      </c>
      <c r="D769" s="24" t="s">
        <v>39</v>
      </c>
      <c r="E769" s="20">
        <f>475.5+414.9-240.3+298.9</f>
        <v>948.99999999999989</v>
      </c>
      <c r="F769" s="20">
        <f>475.5+113.1</f>
        <v>588.6</v>
      </c>
      <c r="G769" s="20">
        <f>475.5+188.5</f>
        <v>664</v>
      </c>
    </row>
    <row r="770" spans="1:7" ht="31.5" outlineLevel="2" x14ac:dyDescent="0.25">
      <c r="A770" s="21" t="s">
        <v>209</v>
      </c>
      <c r="B770" s="19" t="s">
        <v>137</v>
      </c>
      <c r="C770" s="19" t="s">
        <v>210</v>
      </c>
      <c r="D770" s="19"/>
      <c r="E770" s="20">
        <f>E771</f>
        <v>226294.8</v>
      </c>
      <c r="F770" s="20">
        <f t="shared" ref="F770:G770" si="315">F771</f>
        <v>244504.3</v>
      </c>
      <c r="G770" s="20">
        <f t="shared" si="315"/>
        <v>246035.1</v>
      </c>
    </row>
    <row r="771" spans="1:7" outlineLevel="2" x14ac:dyDescent="0.25">
      <c r="A771" s="21" t="s">
        <v>144</v>
      </c>
      <c r="B771" s="19" t="s">
        <v>137</v>
      </c>
      <c r="C771" s="19" t="s">
        <v>216</v>
      </c>
      <c r="D771" s="19"/>
      <c r="E771" s="20">
        <f>E772+E777</f>
        <v>226294.8</v>
      </c>
      <c r="F771" s="20">
        <f t="shared" ref="F771:G771" si="316">F772+F777</f>
        <v>244504.3</v>
      </c>
      <c r="G771" s="20">
        <f t="shared" si="316"/>
        <v>246035.1</v>
      </c>
    </row>
    <row r="772" spans="1:7" ht="49.5" customHeight="1" outlineLevel="2" x14ac:dyDescent="0.25">
      <c r="A772" s="33" t="s">
        <v>495</v>
      </c>
      <c r="B772" s="19" t="s">
        <v>137</v>
      </c>
      <c r="C772" s="19" t="s">
        <v>217</v>
      </c>
      <c r="D772" s="19"/>
      <c r="E772" s="20">
        <f>E773</f>
        <v>166261.09999999998</v>
      </c>
      <c r="F772" s="20">
        <f t="shared" ref="F772:G772" si="317">F773</f>
        <v>181455.6</v>
      </c>
      <c r="G772" s="20">
        <f t="shared" si="317"/>
        <v>182999.5</v>
      </c>
    </row>
    <row r="773" spans="1:7" ht="69.75" customHeight="1" outlineLevel="2" x14ac:dyDescent="0.25">
      <c r="A773" s="33" t="s">
        <v>265</v>
      </c>
      <c r="B773" s="19" t="s">
        <v>137</v>
      </c>
      <c r="C773" s="19" t="s">
        <v>266</v>
      </c>
      <c r="D773" s="10"/>
      <c r="E773" s="20">
        <f>E774+E775+E776</f>
        <v>166261.09999999998</v>
      </c>
      <c r="F773" s="20">
        <f t="shared" ref="F773:G773" si="318">F774+F775+F776</f>
        <v>181455.6</v>
      </c>
      <c r="G773" s="20">
        <f t="shared" si="318"/>
        <v>182999.5</v>
      </c>
    </row>
    <row r="774" spans="1:7" ht="31.5" outlineLevel="2" x14ac:dyDescent="0.25">
      <c r="A774" s="18" t="s">
        <v>76</v>
      </c>
      <c r="B774" s="19" t="s">
        <v>137</v>
      </c>
      <c r="C774" s="19" t="s">
        <v>266</v>
      </c>
      <c r="D774" s="10">
        <v>200</v>
      </c>
      <c r="E774" s="20">
        <v>17</v>
      </c>
      <c r="F774" s="20">
        <v>17</v>
      </c>
      <c r="G774" s="20">
        <v>17</v>
      </c>
    </row>
    <row r="775" spans="1:7" ht="31.5" outlineLevel="2" x14ac:dyDescent="0.25">
      <c r="A775" s="18" t="s">
        <v>20</v>
      </c>
      <c r="B775" s="19" t="s">
        <v>137</v>
      </c>
      <c r="C775" s="19" t="s">
        <v>266</v>
      </c>
      <c r="D775" s="10">
        <v>300</v>
      </c>
      <c r="E775" s="20">
        <v>2390</v>
      </c>
      <c r="F775" s="20">
        <v>2390</v>
      </c>
      <c r="G775" s="20">
        <v>2390</v>
      </c>
    </row>
    <row r="776" spans="1:7" ht="47.25" outlineLevel="2" x14ac:dyDescent="0.25">
      <c r="A776" s="21" t="s">
        <v>94</v>
      </c>
      <c r="B776" s="19" t="s">
        <v>137</v>
      </c>
      <c r="C776" s="19" t="s">
        <v>266</v>
      </c>
      <c r="D776" s="10">
        <v>600</v>
      </c>
      <c r="E776" s="20">
        <f>169596.8+10995.4-16738.1</f>
        <v>163854.09999999998</v>
      </c>
      <c r="F776" s="20">
        <f>169540.7+9507.9</f>
        <v>179048.6</v>
      </c>
      <c r="G776" s="20">
        <f>169540.7+11051.8</f>
        <v>180592.5</v>
      </c>
    </row>
    <row r="777" spans="1:7" ht="47.25" outlineLevel="2" x14ac:dyDescent="0.25">
      <c r="A777" s="33" t="s">
        <v>496</v>
      </c>
      <c r="B777" s="19" t="s">
        <v>137</v>
      </c>
      <c r="C777" s="19" t="s">
        <v>269</v>
      </c>
      <c r="D777" s="10"/>
      <c r="E777" s="20">
        <f>E778+E781+E784</f>
        <v>60033.7</v>
      </c>
      <c r="F777" s="20">
        <f t="shared" ref="F777:G777" si="319">F778+F781+F784</f>
        <v>63048.7</v>
      </c>
      <c r="G777" s="20">
        <f t="shared" si="319"/>
        <v>63035.6</v>
      </c>
    </row>
    <row r="778" spans="1:7" ht="63" outlineLevel="2" x14ac:dyDescent="0.25">
      <c r="A778" s="33" t="s">
        <v>270</v>
      </c>
      <c r="B778" s="19" t="s">
        <v>137</v>
      </c>
      <c r="C778" s="19" t="s">
        <v>271</v>
      </c>
      <c r="D778" s="10"/>
      <c r="E778" s="20">
        <f>E779+E780</f>
        <v>4502.6000000000004</v>
      </c>
      <c r="F778" s="20">
        <f t="shared" ref="F778:G778" si="320">F779+F780</f>
        <v>4436.8</v>
      </c>
      <c r="G778" s="20">
        <f t="shared" si="320"/>
        <v>4423.7</v>
      </c>
    </row>
    <row r="779" spans="1:7" ht="31.5" outlineLevel="2" x14ac:dyDescent="0.25">
      <c r="A779" s="21" t="s">
        <v>76</v>
      </c>
      <c r="B779" s="19" t="s">
        <v>137</v>
      </c>
      <c r="C779" s="19" t="s">
        <v>271</v>
      </c>
      <c r="D779" s="10">
        <v>200</v>
      </c>
      <c r="E779" s="20">
        <v>52</v>
      </c>
      <c r="F779" s="20">
        <v>52</v>
      </c>
      <c r="G779" s="20">
        <v>52</v>
      </c>
    </row>
    <row r="780" spans="1:7" ht="31.5" outlineLevel="2" x14ac:dyDescent="0.25">
      <c r="A780" s="21" t="s">
        <v>20</v>
      </c>
      <c r="B780" s="19" t="s">
        <v>137</v>
      </c>
      <c r="C780" s="19" t="s">
        <v>271</v>
      </c>
      <c r="D780" s="10">
        <v>300</v>
      </c>
      <c r="E780" s="20">
        <f>4165.3+285.3</f>
        <v>4450.6000000000004</v>
      </c>
      <c r="F780" s="20">
        <f>4227.3+157.5</f>
        <v>4384.8</v>
      </c>
      <c r="G780" s="20">
        <f>4227.3+144.4</f>
        <v>4371.7</v>
      </c>
    </row>
    <row r="781" spans="1:7" ht="99.75" customHeight="1" outlineLevel="2" x14ac:dyDescent="0.25">
      <c r="A781" s="33" t="s">
        <v>272</v>
      </c>
      <c r="B781" s="19" t="s">
        <v>137</v>
      </c>
      <c r="C781" s="19" t="s">
        <v>273</v>
      </c>
      <c r="D781" s="10"/>
      <c r="E781" s="20">
        <f>E782+E783</f>
        <v>234.49999999999997</v>
      </c>
      <c r="F781" s="20">
        <f t="shared" ref="F781:G781" si="321">F782+F783</f>
        <v>246.89999999999998</v>
      </c>
      <c r="G781" s="20">
        <f t="shared" si="321"/>
        <v>246.89999999999998</v>
      </c>
    </row>
    <row r="782" spans="1:7" ht="31.5" outlineLevel="2" x14ac:dyDescent="0.25">
      <c r="A782" s="21" t="s">
        <v>76</v>
      </c>
      <c r="B782" s="19" t="s">
        <v>137</v>
      </c>
      <c r="C782" s="19" t="s">
        <v>273</v>
      </c>
      <c r="D782" s="10">
        <v>200</v>
      </c>
      <c r="E782" s="20">
        <v>2.2000000000000002</v>
      </c>
      <c r="F782" s="20">
        <v>2.2000000000000002</v>
      </c>
      <c r="G782" s="20">
        <v>2.2000000000000002</v>
      </c>
    </row>
    <row r="783" spans="1:7" ht="31.5" outlineLevel="2" x14ac:dyDescent="0.25">
      <c r="A783" s="21" t="s">
        <v>20</v>
      </c>
      <c r="B783" s="19" t="s">
        <v>137</v>
      </c>
      <c r="C783" s="19" t="s">
        <v>273</v>
      </c>
      <c r="D783" s="10">
        <v>300</v>
      </c>
      <c r="E783" s="20">
        <f>152.2+80.1</f>
        <v>232.29999999999998</v>
      </c>
      <c r="F783" s="20">
        <f>152.2+92.5</f>
        <v>244.7</v>
      </c>
      <c r="G783" s="20">
        <f>152.2+92.5</f>
        <v>244.7</v>
      </c>
    </row>
    <row r="784" spans="1:7" ht="94.5" outlineLevel="2" x14ac:dyDescent="0.25">
      <c r="A784" s="33" t="s">
        <v>274</v>
      </c>
      <c r="B784" s="19" t="s">
        <v>137</v>
      </c>
      <c r="C784" s="19" t="s">
        <v>275</v>
      </c>
      <c r="D784" s="10"/>
      <c r="E784" s="20">
        <f>E785+E786</f>
        <v>55296.6</v>
      </c>
      <c r="F784" s="20">
        <f t="shared" ref="F784:G784" si="322">F785+F786</f>
        <v>58365</v>
      </c>
      <c r="G784" s="20">
        <f t="shared" si="322"/>
        <v>58365</v>
      </c>
    </row>
    <row r="785" spans="1:7" ht="31.5" outlineLevel="2" x14ac:dyDescent="0.25">
      <c r="A785" s="21" t="s">
        <v>76</v>
      </c>
      <c r="B785" s="19" t="s">
        <v>137</v>
      </c>
      <c r="C785" s="19" t="s">
        <v>275</v>
      </c>
      <c r="D785" s="10">
        <v>200</v>
      </c>
      <c r="E785" s="20">
        <v>500</v>
      </c>
      <c r="F785" s="20">
        <v>500</v>
      </c>
      <c r="G785" s="20">
        <v>500</v>
      </c>
    </row>
    <row r="786" spans="1:7" ht="31.5" outlineLevel="2" x14ac:dyDescent="0.25">
      <c r="A786" s="21" t="s">
        <v>20</v>
      </c>
      <c r="B786" s="19" t="s">
        <v>137</v>
      </c>
      <c r="C786" s="19" t="s">
        <v>275</v>
      </c>
      <c r="D786" s="10">
        <v>300</v>
      </c>
      <c r="E786" s="20">
        <f>39896.4+12958.8+1941.4</f>
        <v>54796.6</v>
      </c>
      <c r="F786" s="20">
        <f>39896.4+12958.8+5009.8</f>
        <v>57865</v>
      </c>
      <c r="G786" s="20">
        <f>39896.4+12958.8+5009.8</f>
        <v>57865</v>
      </c>
    </row>
    <row r="787" spans="1:7" s="61" customFormat="1" ht="16.5" customHeight="1" x14ac:dyDescent="0.25">
      <c r="A787" s="60" t="s">
        <v>185</v>
      </c>
      <c r="B787" s="15" t="s">
        <v>186</v>
      </c>
      <c r="C787" s="15"/>
      <c r="D787" s="16"/>
      <c r="E787" s="32">
        <f t="shared" ref="E787:F787" si="323">E788+E794+E814</f>
        <v>351590.40000000002</v>
      </c>
      <c r="F787" s="32">
        <f t="shared" si="323"/>
        <v>226123.6</v>
      </c>
      <c r="G787" s="32">
        <f>G788+G794+G814</f>
        <v>257799.7</v>
      </c>
    </row>
    <row r="788" spans="1:7" outlineLevel="1" x14ac:dyDescent="0.25">
      <c r="A788" s="18" t="s">
        <v>187</v>
      </c>
      <c r="B788" s="19" t="s">
        <v>188</v>
      </c>
      <c r="C788" s="19"/>
      <c r="D788" s="10"/>
      <c r="E788" s="20">
        <f>E789</f>
        <v>50729.9</v>
      </c>
      <c r="F788" s="20">
        <f>F789</f>
        <v>48654.5</v>
      </c>
      <c r="G788" s="20">
        <f>G789</f>
        <v>50017.599999999999</v>
      </c>
    </row>
    <row r="789" spans="1:7" ht="37.5" customHeight="1" outlineLevel="2" x14ac:dyDescent="0.25">
      <c r="A789" s="18" t="s">
        <v>189</v>
      </c>
      <c r="B789" s="19" t="s">
        <v>188</v>
      </c>
      <c r="C789" s="19" t="s">
        <v>190</v>
      </c>
      <c r="D789" s="10"/>
      <c r="E789" s="20">
        <f>+E790</f>
        <v>50729.9</v>
      </c>
      <c r="F789" s="20">
        <f t="shared" ref="F789:G789" si="324">+F790</f>
        <v>48654.5</v>
      </c>
      <c r="G789" s="20">
        <f t="shared" si="324"/>
        <v>50017.599999999999</v>
      </c>
    </row>
    <row r="790" spans="1:7" outlineLevel="2" x14ac:dyDescent="0.25">
      <c r="A790" s="18" t="s">
        <v>144</v>
      </c>
      <c r="B790" s="19" t="s">
        <v>188</v>
      </c>
      <c r="C790" s="19" t="s">
        <v>193</v>
      </c>
      <c r="D790" s="10"/>
      <c r="E790" s="20">
        <f t="shared" ref="E790:G792" si="325">E791</f>
        <v>50729.9</v>
      </c>
      <c r="F790" s="20">
        <f t="shared" si="325"/>
        <v>48654.5</v>
      </c>
      <c r="G790" s="20">
        <f t="shared" si="325"/>
        <v>50017.599999999999</v>
      </c>
    </row>
    <row r="791" spans="1:7" ht="87.75" customHeight="1" outlineLevel="2" x14ac:dyDescent="0.25">
      <c r="A791" s="18" t="s">
        <v>194</v>
      </c>
      <c r="B791" s="19" t="s">
        <v>188</v>
      </c>
      <c r="C791" s="19" t="s">
        <v>195</v>
      </c>
      <c r="D791" s="10"/>
      <c r="E791" s="20">
        <f t="shared" si="325"/>
        <v>50729.9</v>
      </c>
      <c r="F791" s="20">
        <f t="shared" si="325"/>
        <v>48654.5</v>
      </c>
      <c r="G791" s="20">
        <f t="shared" si="325"/>
        <v>50017.599999999999</v>
      </c>
    </row>
    <row r="792" spans="1:7" ht="38.25" customHeight="1" outlineLevel="2" x14ac:dyDescent="0.25">
      <c r="A792" s="18" t="s">
        <v>151</v>
      </c>
      <c r="B792" s="19" t="s">
        <v>188</v>
      </c>
      <c r="C792" s="19" t="s">
        <v>196</v>
      </c>
      <c r="D792" s="10"/>
      <c r="E792" s="20">
        <f t="shared" si="325"/>
        <v>50729.9</v>
      </c>
      <c r="F792" s="20">
        <f t="shared" si="325"/>
        <v>48654.5</v>
      </c>
      <c r="G792" s="20">
        <f t="shared" si="325"/>
        <v>50017.599999999999</v>
      </c>
    </row>
    <row r="793" spans="1:7" ht="47.25" outlineLevel="2" x14ac:dyDescent="0.25">
      <c r="A793" s="18" t="s">
        <v>94</v>
      </c>
      <c r="B793" s="19" t="s">
        <v>188</v>
      </c>
      <c r="C793" s="19" t="s">
        <v>196</v>
      </c>
      <c r="D793" s="10">
        <v>600</v>
      </c>
      <c r="E793" s="20">
        <f>47356.9+1717.7-44+1699.3</f>
        <v>50729.9</v>
      </c>
      <c r="F793" s="20">
        <v>48654.5</v>
      </c>
      <c r="G793" s="20">
        <v>50017.599999999999</v>
      </c>
    </row>
    <row r="794" spans="1:7" outlineLevel="1" x14ac:dyDescent="0.25">
      <c r="A794" s="18" t="s">
        <v>197</v>
      </c>
      <c r="B794" s="19" t="s">
        <v>198</v>
      </c>
      <c r="C794" s="19"/>
      <c r="D794" s="10"/>
      <c r="E794" s="20">
        <f>E795</f>
        <v>16756.300000000003</v>
      </c>
      <c r="F794" s="20">
        <f>F795</f>
        <v>10854.1</v>
      </c>
      <c r="G794" s="20">
        <f>G795</f>
        <v>34258.400000000001</v>
      </c>
    </row>
    <row r="795" spans="1:7" ht="33.75" customHeight="1" outlineLevel="2" x14ac:dyDescent="0.25">
      <c r="A795" s="18" t="s">
        <v>189</v>
      </c>
      <c r="B795" s="19" t="s">
        <v>198</v>
      </c>
      <c r="C795" s="19" t="s">
        <v>190</v>
      </c>
      <c r="D795" s="10"/>
      <c r="E795" s="20">
        <f>E796+E808</f>
        <v>16756.300000000003</v>
      </c>
      <c r="F795" s="20">
        <f>F796+F808</f>
        <v>10854.1</v>
      </c>
      <c r="G795" s="20">
        <f>G796+G808</f>
        <v>34258.400000000001</v>
      </c>
    </row>
    <row r="796" spans="1:7" ht="21" customHeight="1" outlineLevel="2" x14ac:dyDescent="0.25">
      <c r="A796" s="18" t="s">
        <v>155</v>
      </c>
      <c r="B796" s="19" t="s">
        <v>198</v>
      </c>
      <c r="C796" s="19" t="s">
        <v>191</v>
      </c>
      <c r="D796" s="10"/>
      <c r="E796" s="20">
        <f>E800+E797+E804</f>
        <v>1772.4</v>
      </c>
      <c r="F796" s="20">
        <f t="shared" ref="F796" si="326">F800+F797+F804</f>
        <v>1020</v>
      </c>
      <c r="G796" s="20">
        <f>G800+G797+G803</f>
        <v>24424.3</v>
      </c>
    </row>
    <row r="797" spans="1:7" ht="63" outlineLevel="2" x14ac:dyDescent="0.25">
      <c r="A797" s="18" t="s">
        <v>501</v>
      </c>
      <c r="B797" s="19" t="s">
        <v>198</v>
      </c>
      <c r="C797" s="19" t="s">
        <v>192</v>
      </c>
      <c r="D797" s="19"/>
      <c r="E797" s="20">
        <f>E798</f>
        <v>471.4</v>
      </c>
      <c r="F797" s="20">
        <f t="shared" ref="F797:G798" si="327">F798</f>
        <v>0</v>
      </c>
      <c r="G797" s="20">
        <f t="shared" si="327"/>
        <v>0</v>
      </c>
    </row>
    <row r="798" spans="1:7" ht="31.5" outlineLevel="2" x14ac:dyDescent="0.25">
      <c r="A798" s="18" t="s">
        <v>483</v>
      </c>
      <c r="B798" s="19" t="s">
        <v>198</v>
      </c>
      <c r="C798" s="19" t="s">
        <v>484</v>
      </c>
      <c r="D798" s="19"/>
      <c r="E798" s="20">
        <f>E799</f>
        <v>471.4</v>
      </c>
      <c r="F798" s="20">
        <f t="shared" si="327"/>
        <v>0</v>
      </c>
      <c r="G798" s="20">
        <f t="shared" si="327"/>
        <v>0</v>
      </c>
    </row>
    <row r="799" spans="1:7" ht="47.25" outlineLevel="2" x14ac:dyDescent="0.25">
      <c r="A799" s="18" t="s">
        <v>94</v>
      </c>
      <c r="B799" s="19" t="s">
        <v>198</v>
      </c>
      <c r="C799" s="19" t="s">
        <v>484</v>
      </c>
      <c r="D799" s="19">
        <v>600</v>
      </c>
      <c r="E799" s="20">
        <v>471.4</v>
      </c>
      <c r="F799" s="20">
        <v>0</v>
      </c>
      <c r="G799" s="20">
        <v>0</v>
      </c>
    </row>
    <row r="800" spans="1:7" ht="47.25" outlineLevel="2" x14ac:dyDescent="0.25">
      <c r="A800" s="18" t="s">
        <v>200</v>
      </c>
      <c r="B800" s="19" t="s">
        <v>198</v>
      </c>
      <c r="C800" s="19" t="s">
        <v>201</v>
      </c>
      <c r="D800" s="10"/>
      <c r="E800" s="20">
        <f t="shared" ref="E800:G801" si="328">E801</f>
        <v>981</v>
      </c>
      <c r="F800" s="20">
        <f t="shared" si="328"/>
        <v>1020</v>
      </c>
      <c r="G800" s="20">
        <f t="shared" si="328"/>
        <v>1020</v>
      </c>
    </row>
    <row r="801" spans="1:7" ht="63" outlineLevel="2" x14ac:dyDescent="0.25">
      <c r="A801" s="18" t="s">
        <v>175</v>
      </c>
      <c r="B801" s="19" t="s">
        <v>198</v>
      </c>
      <c r="C801" s="19" t="s">
        <v>486</v>
      </c>
      <c r="D801" s="10"/>
      <c r="E801" s="20">
        <f t="shared" si="328"/>
        <v>981</v>
      </c>
      <c r="F801" s="20">
        <f t="shared" si="328"/>
        <v>1020</v>
      </c>
      <c r="G801" s="20">
        <f t="shared" si="328"/>
        <v>1020</v>
      </c>
    </row>
    <row r="802" spans="1:7" ht="47.25" outlineLevel="2" x14ac:dyDescent="0.25">
      <c r="A802" s="18" t="s">
        <v>94</v>
      </c>
      <c r="B802" s="19" t="s">
        <v>198</v>
      </c>
      <c r="C802" s="19" t="s">
        <v>486</v>
      </c>
      <c r="D802" s="10">
        <v>600</v>
      </c>
      <c r="E802" s="20">
        <f>836+420-275</f>
        <v>981</v>
      </c>
      <c r="F802" s="20">
        <f>600+420</f>
        <v>1020</v>
      </c>
      <c r="G802" s="20">
        <f>600+420</f>
        <v>1020</v>
      </c>
    </row>
    <row r="803" spans="1:7" ht="47.25" outlineLevel="2" x14ac:dyDescent="0.25">
      <c r="A803" s="18" t="s">
        <v>739</v>
      </c>
      <c r="B803" s="19" t="s">
        <v>198</v>
      </c>
      <c r="C803" s="20" t="s">
        <v>738</v>
      </c>
      <c r="D803" s="20"/>
      <c r="E803" s="20">
        <f>+E804</f>
        <v>320</v>
      </c>
      <c r="F803" s="20">
        <f t="shared" ref="F803" si="329">+F804</f>
        <v>0</v>
      </c>
      <c r="G803" s="20">
        <f>+G804+G806</f>
        <v>23404.3</v>
      </c>
    </row>
    <row r="804" spans="1:7" ht="31.5" outlineLevel="2" x14ac:dyDescent="0.25">
      <c r="A804" s="18" t="s">
        <v>736</v>
      </c>
      <c r="B804" s="19" t="s">
        <v>198</v>
      </c>
      <c r="C804" s="20" t="s">
        <v>737</v>
      </c>
      <c r="D804" s="10"/>
      <c r="E804" s="20">
        <f>E805</f>
        <v>320</v>
      </c>
      <c r="F804" s="20">
        <f t="shared" ref="F804:G804" si="330">F805</f>
        <v>0</v>
      </c>
      <c r="G804" s="20">
        <f t="shared" si="330"/>
        <v>0</v>
      </c>
    </row>
    <row r="805" spans="1:7" ht="31.5" outlineLevel="2" x14ac:dyDescent="0.25">
      <c r="A805" s="18" t="s">
        <v>76</v>
      </c>
      <c r="B805" s="19" t="s">
        <v>198</v>
      </c>
      <c r="C805" s="20" t="s">
        <v>737</v>
      </c>
      <c r="D805" s="10">
        <v>200</v>
      </c>
      <c r="E805" s="20">
        <f>600-280</f>
        <v>320</v>
      </c>
      <c r="F805" s="20">
        <v>0</v>
      </c>
      <c r="G805" s="20">
        <v>0</v>
      </c>
    </row>
    <row r="806" spans="1:7" ht="31.5" outlineLevel="2" x14ac:dyDescent="0.25">
      <c r="A806" s="18" t="s">
        <v>740</v>
      </c>
      <c r="B806" s="19" t="s">
        <v>198</v>
      </c>
      <c r="C806" s="19" t="s">
        <v>741</v>
      </c>
      <c r="D806" s="19"/>
      <c r="E806" s="20">
        <f t="shared" ref="E806:F806" si="331">E807</f>
        <v>0</v>
      </c>
      <c r="F806" s="20">
        <f t="shared" si="331"/>
        <v>0</v>
      </c>
      <c r="G806" s="20">
        <f>G807</f>
        <v>23404.3</v>
      </c>
    </row>
    <row r="807" spans="1:7" ht="47.25" outlineLevel="2" x14ac:dyDescent="0.25">
      <c r="A807" s="18" t="s">
        <v>94</v>
      </c>
      <c r="B807" s="19" t="s">
        <v>198</v>
      </c>
      <c r="C807" s="19" t="s">
        <v>741</v>
      </c>
      <c r="D807" s="19">
        <v>600</v>
      </c>
      <c r="E807" s="20">
        <v>0</v>
      </c>
      <c r="F807" s="20">
        <v>0</v>
      </c>
      <c r="G807" s="20">
        <f>1404.3+22000</f>
        <v>23404.3</v>
      </c>
    </row>
    <row r="808" spans="1:7" outlineLevel="2" x14ac:dyDescent="0.25">
      <c r="A808" s="18" t="s">
        <v>144</v>
      </c>
      <c r="B808" s="19" t="s">
        <v>198</v>
      </c>
      <c r="C808" s="19" t="s">
        <v>193</v>
      </c>
      <c r="D808" s="10"/>
      <c r="E808" s="20">
        <f>E809</f>
        <v>14983.900000000001</v>
      </c>
      <c r="F808" s="20">
        <f>F809</f>
        <v>9834.1</v>
      </c>
      <c r="G808" s="20">
        <f>G809</f>
        <v>9834.1</v>
      </c>
    </row>
    <row r="809" spans="1:7" ht="87" customHeight="1" outlineLevel="2" x14ac:dyDescent="0.25">
      <c r="A809" s="18" t="s">
        <v>194</v>
      </c>
      <c r="B809" s="19" t="s">
        <v>198</v>
      </c>
      <c r="C809" s="19" t="s">
        <v>195</v>
      </c>
      <c r="D809" s="10"/>
      <c r="E809" s="20">
        <f>E810+E812</f>
        <v>14983.900000000001</v>
      </c>
      <c r="F809" s="20">
        <f>F810+F812</f>
        <v>9834.1</v>
      </c>
      <c r="G809" s="20">
        <f>G810+G812</f>
        <v>9834.1</v>
      </c>
    </row>
    <row r="810" spans="1:7" ht="31.5" outlineLevel="2" x14ac:dyDescent="0.25">
      <c r="A810" s="18" t="s">
        <v>202</v>
      </c>
      <c r="B810" s="19" t="s">
        <v>198</v>
      </c>
      <c r="C810" s="19" t="s">
        <v>203</v>
      </c>
      <c r="D810" s="10"/>
      <c r="E810" s="20">
        <f>E811</f>
        <v>9895.1</v>
      </c>
      <c r="F810" s="20">
        <f>F811</f>
        <v>7833.3</v>
      </c>
      <c r="G810" s="20">
        <f>G811</f>
        <v>7833.3</v>
      </c>
    </row>
    <row r="811" spans="1:7" ht="31.5" outlineLevel="2" x14ac:dyDescent="0.25">
      <c r="A811" s="18" t="s">
        <v>76</v>
      </c>
      <c r="B811" s="19" t="s">
        <v>198</v>
      </c>
      <c r="C811" s="19" t="s">
        <v>203</v>
      </c>
      <c r="D811" s="10">
        <v>200</v>
      </c>
      <c r="E811" s="20">
        <f>6800+1700+250+700+99.3+619.7-273.9</f>
        <v>9895.1</v>
      </c>
      <c r="F811" s="20">
        <f>5583.3+1500+250+500</f>
        <v>7833.3</v>
      </c>
      <c r="G811" s="20">
        <v>7833.3</v>
      </c>
    </row>
    <row r="812" spans="1:7" ht="47.25" outlineLevel="2" x14ac:dyDescent="0.25">
      <c r="A812" s="18" t="s">
        <v>204</v>
      </c>
      <c r="B812" s="19" t="s">
        <v>198</v>
      </c>
      <c r="C812" s="19" t="s">
        <v>205</v>
      </c>
      <c r="D812" s="10"/>
      <c r="E812" s="20">
        <f>E813</f>
        <v>5088.8</v>
      </c>
      <c r="F812" s="20">
        <f>F813</f>
        <v>2000.8</v>
      </c>
      <c r="G812" s="20">
        <f>G813</f>
        <v>2000.8</v>
      </c>
    </row>
    <row r="813" spans="1:7" ht="87.75" customHeight="1" outlineLevel="2" x14ac:dyDescent="0.25">
      <c r="A813" s="18" t="s">
        <v>75</v>
      </c>
      <c r="B813" s="19" t="s">
        <v>198</v>
      </c>
      <c r="C813" s="19" t="s">
        <v>205</v>
      </c>
      <c r="D813" s="10">
        <v>100</v>
      </c>
      <c r="E813" s="20">
        <f>3200.8+828.9+1059.1</f>
        <v>5088.8</v>
      </c>
      <c r="F813" s="20">
        <v>2000.8</v>
      </c>
      <c r="G813" s="20">
        <v>2000.8</v>
      </c>
    </row>
    <row r="814" spans="1:7" outlineLevel="1" x14ac:dyDescent="0.25">
      <c r="A814" s="18" t="s">
        <v>206</v>
      </c>
      <c r="B814" s="19" t="s">
        <v>199</v>
      </c>
      <c r="C814" s="19"/>
      <c r="D814" s="10"/>
      <c r="E814" s="20">
        <f>E825+E815</f>
        <v>284104.2</v>
      </c>
      <c r="F814" s="20">
        <f t="shared" ref="F814:G814" si="332">F825+F815</f>
        <v>166615</v>
      </c>
      <c r="G814" s="20">
        <f t="shared" si="332"/>
        <v>173523.7</v>
      </c>
    </row>
    <row r="815" spans="1:7" ht="31.5" outlineLevel="2" x14ac:dyDescent="0.25">
      <c r="A815" s="21" t="s">
        <v>209</v>
      </c>
      <c r="B815" s="19" t="s">
        <v>199</v>
      </c>
      <c r="C815" s="19" t="s">
        <v>210</v>
      </c>
      <c r="D815" s="10"/>
      <c r="E815" s="20">
        <f>E816</f>
        <v>253517.5</v>
      </c>
      <c r="F815" s="20">
        <f t="shared" ref="F815:G815" si="333">F816</f>
        <v>136447.20000000001</v>
      </c>
      <c r="G815" s="20">
        <f t="shared" si="333"/>
        <v>142469.30000000002</v>
      </c>
    </row>
    <row r="816" spans="1:7" outlineLevel="2" x14ac:dyDescent="0.25">
      <c r="A816" s="21" t="s">
        <v>144</v>
      </c>
      <c r="B816" s="19" t="s">
        <v>199</v>
      </c>
      <c r="C816" s="19" t="s">
        <v>216</v>
      </c>
      <c r="D816" s="10"/>
      <c r="E816" s="20">
        <f>E817+E820</f>
        <v>253517.5</v>
      </c>
      <c r="F816" s="20">
        <f t="shared" ref="F816:G816" si="334">F817+F820</f>
        <v>136447.20000000001</v>
      </c>
      <c r="G816" s="20">
        <f t="shared" si="334"/>
        <v>142469.30000000002</v>
      </c>
    </row>
    <row r="817" spans="1:7" ht="48.75" customHeight="1" outlineLevel="2" x14ac:dyDescent="0.25">
      <c r="A817" s="21" t="s">
        <v>485</v>
      </c>
      <c r="B817" s="19" t="s">
        <v>199</v>
      </c>
      <c r="C817" s="19" t="s">
        <v>217</v>
      </c>
      <c r="D817" s="10"/>
      <c r="E817" s="20">
        <f>E818</f>
        <v>253422.3</v>
      </c>
      <c r="F817" s="20">
        <f t="shared" ref="F817:G818" si="335">F818</f>
        <v>136391.1</v>
      </c>
      <c r="G817" s="20">
        <f t="shared" si="335"/>
        <v>142413.20000000001</v>
      </c>
    </row>
    <row r="818" spans="1:7" ht="39.75" customHeight="1" outlineLevel="2" x14ac:dyDescent="0.25">
      <c r="A818" s="9" t="s">
        <v>151</v>
      </c>
      <c r="B818" s="19" t="s">
        <v>199</v>
      </c>
      <c r="C818" s="19" t="s">
        <v>218</v>
      </c>
      <c r="D818" s="10"/>
      <c r="E818" s="20">
        <f>E819</f>
        <v>253422.3</v>
      </c>
      <c r="F818" s="20">
        <f t="shared" si="335"/>
        <v>136391.1</v>
      </c>
      <c r="G818" s="20">
        <f t="shared" si="335"/>
        <v>142413.20000000001</v>
      </c>
    </row>
    <row r="819" spans="1:7" ht="47.25" outlineLevel="2" x14ac:dyDescent="0.25">
      <c r="A819" s="18" t="s">
        <v>94</v>
      </c>
      <c r="B819" s="19" t="s">
        <v>199</v>
      </c>
      <c r="C819" s="19" t="s">
        <v>218</v>
      </c>
      <c r="D819" s="10">
        <v>600</v>
      </c>
      <c r="E819" s="20">
        <f>130715.5+1298.4+15747.3+10207.8+8841+5282.4+33519.5+1981.2+25981+18228+1620.2</f>
        <v>253422.3</v>
      </c>
      <c r="F819" s="20">
        <v>136391.1</v>
      </c>
      <c r="G819" s="20">
        <v>142413.20000000001</v>
      </c>
    </row>
    <row r="820" spans="1:7" ht="63" outlineLevel="2" x14ac:dyDescent="0.25">
      <c r="A820" s="33" t="s">
        <v>489</v>
      </c>
      <c r="B820" s="19" t="s">
        <v>199</v>
      </c>
      <c r="C820" s="19" t="s">
        <v>223</v>
      </c>
      <c r="D820" s="51"/>
      <c r="E820" s="20">
        <f>E823+E821</f>
        <v>95.2</v>
      </c>
      <c r="F820" s="20">
        <f>F823</f>
        <v>56.1</v>
      </c>
      <c r="G820" s="20">
        <f>G823</f>
        <v>56.1</v>
      </c>
    </row>
    <row r="821" spans="1:7" ht="31.5" outlineLevel="2" x14ac:dyDescent="0.25">
      <c r="A821" s="9" t="s">
        <v>250</v>
      </c>
      <c r="B821" s="19" t="s">
        <v>199</v>
      </c>
      <c r="C821" s="31" t="s">
        <v>251</v>
      </c>
      <c r="D821" s="19"/>
      <c r="E821" s="20">
        <f>E822</f>
        <v>39.1</v>
      </c>
      <c r="F821" s="20">
        <f t="shared" ref="F821:G821" si="336">F822</f>
        <v>0</v>
      </c>
      <c r="G821" s="20">
        <f t="shared" si="336"/>
        <v>0</v>
      </c>
    </row>
    <row r="822" spans="1:7" ht="47.25" outlineLevel="2" x14ac:dyDescent="0.25">
      <c r="A822" s="21" t="s">
        <v>94</v>
      </c>
      <c r="B822" s="19" t="s">
        <v>199</v>
      </c>
      <c r="C822" s="31" t="s">
        <v>251</v>
      </c>
      <c r="D822" s="19">
        <v>600</v>
      </c>
      <c r="E822" s="20">
        <v>39.1</v>
      </c>
      <c r="F822" s="20">
        <v>0</v>
      </c>
      <c r="G822" s="20">
        <v>0</v>
      </c>
    </row>
    <row r="823" spans="1:7" ht="47.25" outlineLevel="2" x14ac:dyDescent="0.25">
      <c r="A823" s="50" t="s">
        <v>254</v>
      </c>
      <c r="B823" s="19" t="s">
        <v>199</v>
      </c>
      <c r="C823" s="52" t="s">
        <v>225</v>
      </c>
      <c r="D823" s="51"/>
      <c r="E823" s="20">
        <f>E824</f>
        <v>56.1</v>
      </c>
      <c r="F823" s="20">
        <f t="shared" ref="F823:G823" si="337">F824</f>
        <v>56.1</v>
      </c>
      <c r="G823" s="20">
        <f t="shared" si="337"/>
        <v>56.1</v>
      </c>
    </row>
    <row r="824" spans="1:7" ht="47.25" outlineLevel="2" x14ac:dyDescent="0.25">
      <c r="A824" s="21" t="s">
        <v>94</v>
      </c>
      <c r="B824" s="19" t="s">
        <v>199</v>
      </c>
      <c r="C824" s="52" t="s">
        <v>225</v>
      </c>
      <c r="D824" s="51">
        <v>600</v>
      </c>
      <c r="E824" s="20">
        <v>56.1</v>
      </c>
      <c r="F824" s="20">
        <v>56.1</v>
      </c>
      <c r="G824" s="20">
        <v>56.1</v>
      </c>
    </row>
    <row r="825" spans="1:7" ht="39.75" customHeight="1" outlineLevel="2" x14ac:dyDescent="0.25">
      <c r="A825" s="18" t="s">
        <v>189</v>
      </c>
      <c r="B825" s="19" t="s">
        <v>199</v>
      </c>
      <c r="C825" s="19" t="s">
        <v>190</v>
      </c>
      <c r="D825" s="10"/>
      <c r="E825" s="20">
        <f>E830+E826</f>
        <v>30586.699999999997</v>
      </c>
      <c r="F825" s="20">
        <f>F830</f>
        <v>30167.8</v>
      </c>
      <c r="G825" s="20">
        <f>G830</f>
        <v>31054.400000000001</v>
      </c>
    </row>
    <row r="826" spans="1:7" ht="19.5" customHeight="1" outlineLevel="2" x14ac:dyDescent="0.25">
      <c r="A826" s="18" t="s">
        <v>155</v>
      </c>
      <c r="B826" s="19" t="s">
        <v>199</v>
      </c>
      <c r="C826" s="19" t="s">
        <v>191</v>
      </c>
      <c r="D826" s="19"/>
      <c r="E826" s="20">
        <f>E827</f>
        <v>1015.1</v>
      </c>
      <c r="F826" s="20">
        <f t="shared" ref="F826:G828" si="338">F827</f>
        <v>0</v>
      </c>
      <c r="G826" s="20">
        <f t="shared" si="338"/>
        <v>0</v>
      </c>
    </row>
    <row r="827" spans="1:7" ht="47.25" outlineLevel="2" x14ac:dyDescent="0.25">
      <c r="A827" s="18" t="s">
        <v>540</v>
      </c>
      <c r="B827" s="19" t="s">
        <v>199</v>
      </c>
      <c r="C827" s="19" t="s">
        <v>541</v>
      </c>
      <c r="D827" s="19"/>
      <c r="E827" s="20">
        <f t="shared" ref="E827:E828" si="339">E828</f>
        <v>1015.1</v>
      </c>
      <c r="F827" s="20">
        <f t="shared" si="338"/>
        <v>0</v>
      </c>
      <c r="G827" s="20">
        <f t="shared" si="338"/>
        <v>0</v>
      </c>
    </row>
    <row r="828" spans="1:7" ht="63" outlineLevel="2" x14ac:dyDescent="0.25">
      <c r="A828" s="18" t="s">
        <v>175</v>
      </c>
      <c r="B828" s="19" t="s">
        <v>199</v>
      </c>
      <c r="C828" s="62" t="s">
        <v>542</v>
      </c>
      <c r="D828" s="19"/>
      <c r="E828" s="20">
        <f t="shared" si="339"/>
        <v>1015.1</v>
      </c>
      <c r="F828" s="20">
        <f t="shared" si="338"/>
        <v>0</v>
      </c>
      <c r="G828" s="20">
        <f t="shared" si="338"/>
        <v>0</v>
      </c>
    </row>
    <row r="829" spans="1:7" ht="47.25" outlineLevel="2" x14ac:dyDescent="0.25">
      <c r="A829" s="18" t="s">
        <v>94</v>
      </c>
      <c r="B829" s="19" t="s">
        <v>199</v>
      </c>
      <c r="C829" s="62" t="s">
        <v>542</v>
      </c>
      <c r="D829" s="19" t="s">
        <v>95</v>
      </c>
      <c r="E829" s="20">
        <f>55.2+5.7+89.5+864.7</f>
        <v>1015.1</v>
      </c>
      <c r="F829" s="20">
        <v>0</v>
      </c>
      <c r="G829" s="20">
        <v>0</v>
      </c>
    </row>
    <row r="830" spans="1:7" outlineLevel="2" x14ac:dyDescent="0.25">
      <c r="A830" s="18" t="s">
        <v>144</v>
      </c>
      <c r="B830" s="19" t="s">
        <v>199</v>
      </c>
      <c r="C830" s="19" t="s">
        <v>193</v>
      </c>
      <c r="D830" s="10"/>
      <c r="E830" s="20">
        <f>E831</f>
        <v>29571.599999999999</v>
      </c>
      <c r="F830" s="20">
        <f t="shared" ref="F830:G830" si="340">F831</f>
        <v>30167.8</v>
      </c>
      <c r="G830" s="20">
        <f t="shared" si="340"/>
        <v>31054.400000000001</v>
      </c>
    </row>
    <row r="831" spans="1:7" ht="85.5" customHeight="1" outlineLevel="2" x14ac:dyDescent="0.25">
      <c r="A831" s="18" t="s">
        <v>194</v>
      </c>
      <c r="B831" s="19" t="s">
        <v>199</v>
      </c>
      <c r="C831" s="19" t="s">
        <v>195</v>
      </c>
      <c r="D831" s="10"/>
      <c r="E831" s="20">
        <f>E832+E834</f>
        <v>29571.599999999999</v>
      </c>
      <c r="F831" s="20">
        <f t="shared" ref="F831:G831" si="341">F832+F834</f>
        <v>30167.8</v>
      </c>
      <c r="G831" s="20">
        <f t="shared" si="341"/>
        <v>31054.400000000001</v>
      </c>
    </row>
    <row r="832" spans="1:7" ht="51" customHeight="1" outlineLevel="2" x14ac:dyDescent="0.25">
      <c r="A832" s="18" t="s">
        <v>207</v>
      </c>
      <c r="B832" s="19" t="s">
        <v>199</v>
      </c>
      <c r="C832" s="19" t="s">
        <v>208</v>
      </c>
      <c r="D832" s="10"/>
      <c r="E832" s="20">
        <f>E833</f>
        <v>950</v>
      </c>
      <c r="F832" s="20">
        <f>F833</f>
        <v>950</v>
      </c>
      <c r="G832" s="20">
        <f>G833</f>
        <v>950</v>
      </c>
    </row>
    <row r="833" spans="1:7" ht="31.5" outlineLevel="2" x14ac:dyDescent="0.25">
      <c r="A833" s="18" t="s">
        <v>20</v>
      </c>
      <c r="B833" s="19" t="s">
        <v>199</v>
      </c>
      <c r="C833" s="19" t="s">
        <v>208</v>
      </c>
      <c r="D833" s="10">
        <v>300</v>
      </c>
      <c r="E833" s="20">
        <v>950</v>
      </c>
      <c r="F833" s="20">
        <v>950</v>
      </c>
      <c r="G833" s="20">
        <v>950</v>
      </c>
    </row>
    <row r="834" spans="1:7" ht="37.5" customHeight="1" outlineLevel="2" x14ac:dyDescent="0.25">
      <c r="A834" s="18" t="s">
        <v>151</v>
      </c>
      <c r="B834" s="19" t="s">
        <v>199</v>
      </c>
      <c r="C834" s="19" t="s">
        <v>196</v>
      </c>
      <c r="D834" s="10"/>
      <c r="E834" s="20">
        <f>E835</f>
        <v>28621.599999999999</v>
      </c>
      <c r="F834" s="20">
        <f>F835</f>
        <v>29217.8</v>
      </c>
      <c r="G834" s="20">
        <f>G835</f>
        <v>30104.400000000001</v>
      </c>
    </row>
    <row r="835" spans="1:7" ht="47.25" outlineLevel="2" x14ac:dyDescent="0.25">
      <c r="A835" s="18" t="s">
        <v>94</v>
      </c>
      <c r="B835" s="19" t="s">
        <v>199</v>
      </c>
      <c r="C835" s="19" t="s">
        <v>196</v>
      </c>
      <c r="D835" s="10">
        <v>600</v>
      </c>
      <c r="E835" s="20">
        <f>28376.3+42.5+158.8+44</f>
        <v>28621.599999999999</v>
      </c>
      <c r="F835" s="20">
        <v>29217.8</v>
      </c>
      <c r="G835" s="20">
        <v>30104.400000000001</v>
      </c>
    </row>
    <row r="836" spans="1:7" x14ac:dyDescent="0.25">
      <c r="A836" s="63" t="s">
        <v>467</v>
      </c>
      <c r="B836" s="36" t="s">
        <v>468</v>
      </c>
      <c r="C836" s="36"/>
      <c r="D836" s="45"/>
      <c r="E836" s="17">
        <f>E837</f>
        <v>22330.800000000003</v>
      </c>
      <c r="F836" s="17">
        <f t="shared" ref="F836:G839" si="342">F837</f>
        <v>34815.9</v>
      </c>
      <c r="G836" s="17">
        <f t="shared" si="342"/>
        <v>36037.4</v>
      </c>
    </row>
    <row r="837" spans="1:7" outlineLevel="1" x14ac:dyDescent="0.25">
      <c r="A837" s="34" t="s">
        <v>469</v>
      </c>
      <c r="B837" s="24" t="s">
        <v>470</v>
      </c>
      <c r="C837" s="24"/>
      <c r="D837" s="25"/>
      <c r="E837" s="20">
        <f>E838</f>
        <v>22330.800000000003</v>
      </c>
      <c r="F837" s="20">
        <f t="shared" si="342"/>
        <v>34815.9</v>
      </c>
      <c r="G837" s="20">
        <f t="shared" si="342"/>
        <v>36037.4</v>
      </c>
    </row>
    <row r="838" spans="1:7" outlineLevel="2" x14ac:dyDescent="0.25">
      <c r="A838" s="38" t="s">
        <v>9</v>
      </c>
      <c r="B838" s="24" t="s">
        <v>470</v>
      </c>
      <c r="C838" s="24" t="s">
        <v>10</v>
      </c>
      <c r="D838" s="25"/>
      <c r="E838" s="20">
        <f>E839</f>
        <v>22330.800000000003</v>
      </c>
      <c r="F838" s="20">
        <f t="shared" si="342"/>
        <v>34815.9</v>
      </c>
      <c r="G838" s="20">
        <f t="shared" si="342"/>
        <v>36037.4</v>
      </c>
    </row>
    <row r="839" spans="1:7" ht="33" customHeight="1" outlineLevel="2" x14ac:dyDescent="0.25">
      <c r="A839" s="38" t="s">
        <v>151</v>
      </c>
      <c r="B839" s="24" t="s">
        <v>470</v>
      </c>
      <c r="C839" s="24" t="s">
        <v>45</v>
      </c>
      <c r="D839" s="25"/>
      <c r="E839" s="20">
        <f>E840</f>
        <v>22330.800000000003</v>
      </c>
      <c r="F839" s="20">
        <f t="shared" si="342"/>
        <v>34815.9</v>
      </c>
      <c r="G839" s="20">
        <f t="shared" si="342"/>
        <v>36037.4</v>
      </c>
    </row>
    <row r="840" spans="1:7" ht="47.25" outlineLevel="2" x14ac:dyDescent="0.25">
      <c r="A840" s="38" t="s">
        <v>94</v>
      </c>
      <c r="B840" s="24" t="s">
        <v>470</v>
      </c>
      <c r="C840" s="24" t="s">
        <v>45</v>
      </c>
      <c r="D840" s="25">
        <v>600</v>
      </c>
      <c r="E840" s="20">
        <f>33638.3-11307.5</f>
        <v>22330.800000000003</v>
      </c>
      <c r="F840" s="20">
        <v>34815.9</v>
      </c>
      <c r="G840" s="20">
        <v>36037.4</v>
      </c>
    </row>
    <row r="841" spans="1:7" ht="31.5" x14ac:dyDescent="0.25">
      <c r="A841" s="60" t="s">
        <v>112</v>
      </c>
      <c r="B841" s="15" t="s">
        <v>113</v>
      </c>
      <c r="C841" s="15"/>
      <c r="D841" s="16"/>
      <c r="E841" s="32">
        <f>E842</f>
        <v>143371.5</v>
      </c>
      <c r="F841" s="32">
        <f t="shared" ref="F841:G844" si="343">F842</f>
        <v>183171</v>
      </c>
      <c r="G841" s="32">
        <f t="shared" si="343"/>
        <v>236273.4</v>
      </c>
    </row>
    <row r="842" spans="1:7" ht="31.5" outlineLevel="1" x14ac:dyDescent="0.25">
      <c r="A842" s="18" t="s">
        <v>114</v>
      </c>
      <c r="B842" s="19" t="s">
        <v>115</v>
      </c>
      <c r="C842" s="19"/>
      <c r="D842" s="10"/>
      <c r="E842" s="20">
        <f>E843</f>
        <v>143371.5</v>
      </c>
      <c r="F842" s="20">
        <f t="shared" si="343"/>
        <v>183171</v>
      </c>
      <c r="G842" s="20">
        <f t="shared" si="343"/>
        <v>236273.4</v>
      </c>
    </row>
    <row r="843" spans="1:7" outlineLevel="2" x14ac:dyDescent="0.25">
      <c r="A843" s="18" t="s">
        <v>9</v>
      </c>
      <c r="B843" s="19" t="s">
        <v>115</v>
      </c>
      <c r="C843" s="19" t="s">
        <v>10</v>
      </c>
      <c r="D843" s="10"/>
      <c r="E843" s="20">
        <f>E844</f>
        <v>143371.5</v>
      </c>
      <c r="F843" s="20">
        <f t="shared" si="343"/>
        <v>183171</v>
      </c>
      <c r="G843" s="20">
        <f t="shared" si="343"/>
        <v>236273.4</v>
      </c>
    </row>
    <row r="844" spans="1:7" ht="21" customHeight="1" outlineLevel="2" x14ac:dyDescent="0.25">
      <c r="A844" s="18" t="s">
        <v>116</v>
      </c>
      <c r="B844" s="19" t="s">
        <v>115</v>
      </c>
      <c r="C844" s="19" t="s">
        <v>117</v>
      </c>
      <c r="D844" s="10"/>
      <c r="E844" s="20">
        <f>E845</f>
        <v>143371.5</v>
      </c>
      <c r="F844" s="20">
        <f t="shared" si="343"/>
        <v>183171</v>
      </c>
      <c r="G844" s="32">
        <f t="shared" si="343"/>
        <v>236273.4</v>
      </c>
    </row>
    <row r="845" spans="1:7" ht="31.5" outlineLevel="2" x14ac:dyDescent="0.25">
      <c r="A845" s="18" t="s">
        <v>118</v>
      </c>
      <c r="B845" s="19" t="s">
        <v>115</v>
      </c>
      <c r="C845" s="19" t="s">
        <v>117</v>
      </c>
      <c r="D845" s="10">
        <v>700</v>
      </c>
      <c r="E845" s="20">
        <v>143371.5</v>
      </c>
      <c r="F845" s="20">
        <v>183171</v>
      </c>
      <c r="G845" s="20">
        <v>236273.4</v>
      </c>
    </row>
    <row r="846" spans="1:7" x14ac:dyDescent="0.25">
      <c r="E846" s="20"/>
      <c r="F846" s="20"/>
      <c r="G846" s="20"/>
    </row>
    <row r="847" spans="1:7" x14ac:dyDescent="0.25">
      <c r="A847" s="64" t="s">
        <v>471</v>
      </c>
      <c r="E847" s="17">
        <f>E9+E122+E141+E283+E509+E516+E691+E736+E787+E836+E841</f>
        <v>14515364.600000005</v>
      </c>
      <c r="F847" s="17">
        <f>F9+F122+F141+F283+F509+F516+F691+F736+F787+F836+F841</f>
        <v>14106756.899999999</v>
      </c>
      <c r="G847" s="17">
        <f>G9+G122+G141+G283+G509+G516+G691+G736+G787+G836+G841</f>
        <v>12902176.399999999</v>
      </c>
    </row>
    <row r="848" spans="1:7" x14ac:dyDescent="0.25">
      <c r="G848" s="3"/>
    </row>
    <row r="849" spans="7:7" x14ac:dyDescent="0.25">
      <c r="G849" s="3"/>
    </row>
    <row r="850" spans="7:7" x14ac:dyDescent="0.25">
      <c r="G850" s="3"/>
    </row>
    <row r="851" spans="7:7" x14ac:dyDescent="0.25">
      <c r="G851" s="3"/>
    </row>
    <row r="852" spans="7:7" x14ac:dyDescent="0.25">
      <c r="G852" s="3"/>
    </row>
    <row r="853" spans="7:7" x14ac:dyDescent="0.25">
      <c r="G853" s="3"/>
    </row>
    <row r="854" spans="7:7" x14ac:dyDescent="0.25">
      <c r="G854" s="3"/>
    </row>
    <row r="855" spans="7:7" x14ac:dyDescent="0.25">
      <c r="G855" s="3"/>
    </row>
    <row r="856" spans="7:7" x14ac:dyDescent="0.25">
      <c r="G856" s="3"/>
    </row>
    <row r="857" spans="7:7" x14ac:dyDescent="0.25">
      <c r="G857" s="3"/>
    </row>
    <row r="858" spans="7:7" x14ac:dyDescent="0.25">
      <c r="G858" s="3"/>
    </row>
    <row r="859" spans="7:7" x14ac:dyDescent="0.25">
      <c r="G859" s="3"/>
    </row>
    <row r="860" spans="7:7" x14ac:dyDescent="0.25">
      <c r="G860" s="3"/>
    </row>
    <row r="861" spans="7:7" x14ac:dyDescent="0.25">
      <c r="G861" s="3"/>
    </row>
    <row r="862" spans="7:7" x14ac:dyDescent="0.25">
      <c r="G862" s="3"/>
    </row>
    <row r="863" spans="7:7" x14ac:dyDescent="0.25">
      <c r="G863" s="3"/>
    </row>
  </sheetData>
  <customSheetViews>
    <customSheetView guid="{2A135292-D5EB-4A8D-A93E-D0B24F2543E0}" scale="70" showPageBreaks="1" fitToPage="1">
      <selection activeCell="G848" sqref="G848"/>
      <pageMargins left="0.70866141732283472" right="0.11811023622047245" top="0.55118110236220474" bottom="0.35433070866141736" header="0.31496062992125984" footer="0.31496062992125984"/>
      <pageSetup paperSize="9" scale="72" fitToHeight="0" orientation="portrait" r:id="rId1"/>
    </customSheetView>
    <customSheetView guid="{AA62EF5A-85DE-4BC8-95D5-4F54CE8CF3D6}" scale="77" showPageBreaks="1" topLeftCell="A162">
      <selection activeCell="A164" sqref="A164:E164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</customSheetView>
    <customSheetView guid="{61C84D61-2D1A-4C38-8F3E-B87673D547A5}" showPageBreaks="1" topLeftCell="A676">
      <selection activeCell="D532" sqref="D53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  <customSheetView guid="{1CA6CCC9-64EF-4CA9-9C9C-1E572976D134}" scale="70" showPageBreaks="1" fitToPage="1" hiddenRows="1" topLeftCell="A3">
      <selection activeCell="F34" sqref="F34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6"/>
    </customSheetView>
    <customSheetView guid="{98E64474-CDF2-4660-977D-8A2058B27A2F}" scale="70" fitToPage="1" topLeftCell="A696">
      <selection activeCell="C713" sqref="C713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7"/>
    </customSheetView>
  </customSheetViews>
  <mergeCells count="7">
    <mergeCell ref="A7:A8"/>
    <mergeCell ref="B7:B8"/>
    <mergeCell ref="F7:G7"/>
    <mergeCell ref="F1:G1"/>
    <mergeCell ref="C7:C8"/>
    <mergeCell ref="D7:D8"/>
    <mergeCell ref="A4:G4"/>
  </mergeCells>
  <phoneticPr fontId="4" type="noConversion"/>
  <pageMargins left="0.70866141732283472" right="0.11811023622047245" top="0.55118110236220474" bottom="0.35433070866141736" header="0.31496062992125984" footer="0.31496062992125984"/>
  <pageSetup paperSize="9" scale="72" fitToHeight="0" orientation="portrait" r:id="rId8"/>
  <legacy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Наталья Геращенко</cp:lastModifiedBy>
  <cp:lastPrinted>2025-06-04T00:48:07Z</cp:lastPrinted>
  <dcterms:created xsi:type="dcterms:W3CDTF">2021-10-13T06:13:14Z</dcterms:created>
  <dcterms:modified xsi:type="dcterms:W3CDTF">2025-06-27T02:59:37Z</dcterms:modified>
</cp:coreProperties>
</file>